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/>
  <xr:revisionPtr revIDLastSave="0" documentId="13_ncr:1_{28FAF295-ED05-4658-BD8A-9DC5DBABAA66}" xr6:coauthVersionLast="45" xr6:coauthVersionMax="45" xr10:uidLastSave="{00000000-0000-0000-0000-000000000000}"/>
  <bookViews>
    <workbookView xWindow="-120" yWindow="-120" windowWidth="20730" windowHeight="11160" activeTab="4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" l="1"/>
  <c r="H63" i="1"/>
  <c r="G63" i="1"/>
  <c r="I34" i="1"/>
  <c r="H34" i="1"/>
  <c r="G34" i="1"/>
  <c r="F34" i="1" l="1"/>
  <c r="I29" i="1"/>
  <c r="H29" i="1"/>
  <c r="G29" i="1"/>
  <c r="F29" i="1"/>
  <c r="F26" i="1"/>
  <c r="H26" i="1"/>
  <c r="F89" i="1"/>
  <c r="H89" i="1"/>
  <c r="F50" i="1"/>
  <c r="I26" i="1" l="1"/>
  <c r="G26" i="1"/>
  <c r="I89" i="1"/>
  <c r="G89" i="1"/>
  <c r="E44" i="1" l="1"/>
  <c r="G25" i="1"/>
  <c r="G90" i="1" s="1"/>
  <c r="F25" i="1"/>
  <c r="I49" i="1" l="1"/>
  <c r="H49" i="1"/>
  <c r="G49" i="1"/>
  <c r="F49" i="1"/>
  <c r="G46" i="1"/>
  <c r="F46" i="1"/>
  <c r="G45" i="1" l="1"/>
  <c r="F45" i="1"/>
  <c r="D9" i="4" l="1"/>
  <c r="D12" i="5" l="1"/>
  <c r="B21" i="5"/>
  <c r="B20" i="5"/>
  <c r="B19" i="5"/>
  <c r="B13" i="5"/>
  <c r="B12" i="5"/>
  <c r="B11" i="5"/>
  <c r="C23" i="3"/>
  <c r="C22" i="3"/>
  <c r="C20" i="3"/>
  <c r="C13" i="3"/>
  <c r="C12" i="3"/>
  <c r="C10" i="3"/>
  <c r="C9" i="3"/>
  <c r="C25" i="2"/>
  <c r="C23" i="2"/>
  <c r="C17" i="2"/>
  <c r="C16" i="2"/>
  <c r="C14" i="2"/>
  <c r="D43" i="3"/>
  <c r="D44" i="3"/>
  <c r="I35" i="1"/>
  <c r="H35" i="1"/>
  <c r="G35" i="1"/>
  <c r="G30" i="1" s="1"/>
  <c r="F35" i="1"/>
  <c r="I64" i="1"/>
  <c r="H64" i="1"/>
  <c r="G64" i="1"/>
  <c r="F64" i="1"/>
  <c r="D11" i="5"/>
  <c r="C89" i="1"/>
  <c r="C77" i="1"/>
  <c r="C73" i="1"/>
  <c r="C64" i="1"/>
  <c r="C63" i="1"/>
  <c r="C62" i="1"/>
  <c r="C59" i="1"/>
  <c r="C56" i="1"/>
  <c r="C51" i="1"/>
  <c r="C50" i="1"/>
  <c r="C46" i="1"/>
  <c r="C45" i="1"/>
  <c r="C44" i="1"/>
  <c r="C43" i="1"/>
  <c r="C40" i="1"/>
  <c r="C39" i="1"/>
  <c r="C38" i="1"/>
  <c r="C36" i="1"/>
  <c r="C35" i="1"/>
  <c r="C34" i="1"/>
  <c r="C33" i="1"/>
  <c r="C32" i="1"/>
  <c r="C29" i="1"/>
  <c r="C28" i="1"/>
  <c r="C26" i="1"/>
  <c r="E49" i="1"/>
  <c r="D15" i="5" l="1"/>
  <c r="D19" i="5"/>
  <c r="D23" i="5" s="1"/>
  <c r="C8" i="3"/>
  <c r="F98" i="1"/>
  <c r="D20" i="5"/>
  <c r="D16" i="5"/>
  <c r="I97" i="1"/>
  <c r="I25" i="2" s="1"/>
  <c r="C25" i="5" l="1"/>
  <c r="C24" i="5"/>
  <c r="C23" i="5"/>
  <c r="C17" i="5"/>
  <c r="C16" i="5"/>
  <c r="C15" i="5"/>
  <c r="C10" i="5"/>
  <c r="C6" i="5"/>
  <c r="C18" i="5" l="1"/>
  <c r="D24" i="5"/>
  <c r="D6" i="5"/>
  <c r="D13" i="3"/>
  <c r="I17" i="2" l="1"/>
  <c r="H17" i="2"/>
  <c r="G17" i="2"/>
  <c r="F17" i="2"/>
  <c r="D17" i="2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7" i="1"/>
  <c r="D13" i="5" l="1"/>
  <c r="C78" i="1"/>
  <c r="D78" i="1"/>
  <c r="E78" i="1"/>
  <c r="F78" i="1"/>
  <c r="D21" i="5" l="1"/>
  <c r="D17" i="5"/>
  <c r="D10" i="5"/>
  <c r="C7" i="4"/>
  <c r="D7" i="4"/>
  <c r="B23" i="5"/>
  <c r="B15" i="5"/>
  <c r="B25" i="5"/>
  <c r="B24" i="5"/>
  <c r="D12" i="3"/>
  <c r="D25" i="5" l="1"/>
  <c r="D18" i="5"/>
  <c r="B17" i="5"/>
  <c r="B16" i="5"/>
  <c r="E9" i="3"/>
  <c r="F43" i="3"/>
  <c r="E43" i="3" s="1"/>
  <c r="G13" i="3"/>
  <c r="H13" i="3"/>
  <c r="F13" i="3"/>
  <c r="G12" i="3"/>
  <c r="H12" i="3"/>
  <c r="I12" i="3"/>
  <c r="G10" i="3"/>
  <c r="H10" i="3"/>
  <c r="I10" i="3"/>
  <c r="E56" i="1" l="1"/>
  <c r="H25" i="1"/>
  <c r="I25" i="1"/>
  <c r="H30" i="1"/>
  <c r="I30" i="1"/>
  <c r="F75" i="1"/>
  <c r="F55" i="1" s="1"/>
  <c r="F30" i="1"/>
  <c r="F23" i="2"/>
  <c r="F97" i="1"/>
  <c r="F25" i="2" s="1"/>
  <c r="F96" i="1"/>
  <c r="F94" i="1" s="1"/>
  <c r="F100" i="1" l="1"/>
  <c r="F23" i="3"/>
  <c r="F21" i="2"/>
  <c r="F16" i="2"/>
  <c r="F26" i="3" s="1"/>
  <c r="E25" i="1"/>
  <c r="E90" i="1" s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G25" i="2" s="1"/>
  <c r="H97" i="1"/>
  <c r="H25" i="2" s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I21" i="2"/>
  <c r="I16" i="2"/>
  <c r="I26" i="3" s="1"/>
  <c r="I23" i="3"/>
  <c r="G21" i="2"/>
  <c r="H21" i="2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H90" i="1"/>
  <c r="I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E26" i="2" l="1"/>
  <c r="C21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15" i="2"/>
  <c r="D101" i="1"/>
  <c r="C55" i="1"/>
  <c r="C100" i="1"/>
  <c r="D55" i="1"/>
  <c r="C101" i="1" l="1"/>
  <c r="C91" i="1"/>
  <c r="C92" i="1" l="1"/>
  <c r="C21" i="3"/>
  <c r="E77" i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B6" i="5"/>
  <c r="G100" i="1" l="1"/>
  <c r="G91" i="1" s="1"/>
  <c r="E25" i="2"/>
  <c r="I15" i="2"/>
  <c r="E16" i="2"/>
  <c r="F90" i="1"/>
  <c r="E51" i="1"/>
  <c r="E63" i="1"/>
  <c r="E97" i="1" s="1"/>
  <c r="E15" i="2" l="1"/>
  <c r="G101" i="1"/>
  <c r="G22" i="3"/>
  <c r="E62" i="1"/>
  <c r="E50" i="1"/>
  <c r="E100" i="1" s="1"/>
  <c r="E23" i="3"/>
  <c r="E73" i="1"/>
  <c r="E64" i="1"/>
  <c r="E98" i="1" s="1"/>
  <c r="F91" i="1"/>
  <c r="F22" i="3" s="1"/>
  <c r="F92" i="1" l="1"/>
  <c r="F14" i="2" s="1"/>
  <c r="G8" i="2" s="1"/>
  <c r="G92" i="1"/>
  <c r="G21" i="3"/>
  <c r="F21" i="3"/>
  <c r="H100" i="1"/>
  <c r="H101" i="1" s="1"/>
  <c r="E96" i="1"/>
  <c r="E94" i="1" s="1"/>
  <c r="E91" i="1" s="1"/>
  <c r="E92" i="1" s="1"/>
  <c r="E55" i="1"/>
  <c r="G8" i="3"/>
  <c r="G42" i="3" s="1"/>
  <c r="G14" i="2" l="1"/>
  <c r="H8" i="2" s="1"/>
  <c r="F44" i="3"/>
  <c r="E23" i="2"/>
  <c r="E21" i="2" s="1"/>
  <c r="I25" i="3"/>
  <c r="E25" i="3" s="1"/>
  <c r="G44" i="3" l="1"/>
  <c r="G43" i="3"/>
  <c r="H43" i="3"/>
  <c r="E30" i="1"/>
  <c r="H91" i="1" l="1"/>
  <c r="H22" i="3" s="1"/>
  <c r="I91" i="1"/>
  <c r="I22" i="3" s="1"/>
  <c r="I92" i="1" l="1"/>
  <c r="I21" i="3"/>
  <c r="H92" i="1"/>
  <c r="H14" i="2" s="1"/>
  <c r="H21" i="3"/>
  <c r="E101" i="1"/>
  <c r="F8" i="3"/>
  <c r="E22" i="3" l="1"/>
  <c r="I8" i="2"/>
  <c r="E8" i="2" s="1"/>
  <c r="E21" i="3"/>
  <c r="H44" i="3"/>
  <c r="F42" i="3"/>
  <c r="I13" i="3"/>
  <c r="I14" i="2" l="1"/>
  <c r="E14" i="2" s="1"/>
  <c r="I8" i="3"/>
  <c r="E13" i="3"/>
  <c r="I43" i="3"/>
  <c r="I44" i="3" l="1"/>
  <c r="E44" i="3" s="1"/>
  <c r="I42" i="3"/>
  <c r="E42" i="3" s="1"/>
  <c r="E8" i="3"/>
</calcChain>
</file>

<file path=xl/sharedStrings.xml><?xml version="1.0" encoding="utf-8"?>
<sst xmlns="http://schemas.openxmlformats.org/spreadsheetml/2006/main" count="282" uniqueCount="205">
  <si>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</si>
  <si>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</si>
  <si>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</si>
  <si>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</si>
  <si>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</si>
  <si>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</si>
  <si>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</si>
  <si>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</si>
  <si>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</si>
  <si>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</si>
  <si>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</si>
  <si>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</si>
  <si>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</si>
  <si>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</si>
  <si>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</si>
  <si>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</si>
  <si>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</si>
  <si>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</si>
  <si>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</si>
  <si>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</si>
  <si>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</si>
  <si>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</si>
  <si>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</si>
  <si>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</si>
  <si>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</si>
  <si>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</si>
  <si>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</si>
  <si>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</si>
  <si>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</si>
  <si>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</si>
  <si>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</si>
  <si>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</si>
  <si>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</si>
  <si>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</si>
  <si>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</si>
  <si>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</si>
  <si>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</si>
  <si>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</si>
  <si>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</si>
  <si>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</si>
  <si>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</si>
  <si>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</si>
  <si>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</si>
  <si>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</si>
  <si>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</si>
  <si>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</si>
  <si>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</si>
  <si>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</si>
  <si>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</si>
  <si>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</si>
  <si>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</si>
  <si>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</si>
  <si>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</si>
  <si>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</si>
  <si>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</si>
  <si>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</si>
  <si>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</si>
  <si>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</si>
  <si>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</si>
  <si>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</si>
  <si>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</si>
  <si>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</si>
  <si>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</si>
  <si>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</si>
  <si>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</si>
  <si>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</si>
  <si>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</si>
  <si>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</si>
  <si>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</si>
  <si>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</si>
  <si>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</si>
  <si>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</si>
  <si>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</si>
  <si>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</si>
  <si>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</si>
  <si>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</si>
  <si>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</si>
  <si>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</si>
  <si>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</si>
  <si>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</si>
  <si>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</si>
  <si>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</si>
  <si>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</si>
  <si>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</si>
  <si>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</si>
  <si>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</si>
  <si>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</si>
  <si>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</si>
  <si>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</si>
  <si>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</si>
  <si>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</si>
  <si>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</si>
  <si>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</si>
  <si>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</si>
  <si>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</si>
  <si>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</si>
  <si>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</si>
  <si>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</si>
  <si>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</si>
  <si>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</si>
  <si>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</si>
  <si>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</si>
  <si>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</si>
  <si>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</si>
  <si>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</si>
  <si>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</si>
  <si>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</si>
  <si>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</si>
  <si>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</si>
  <si>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</si>
  <si>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</si>
  <si>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</si>
  <si>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</si>
  <si>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</si>
  <si>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</si>
  <si>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</si>
  <si>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</si>
  <si>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</si>
  <si>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</si>
  <si>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</si>
  <si>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</si>
  <si>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</si>
  <si>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</si>
  <si>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</si>
  <si>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</si>
  <si>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</si>
  <si>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</si>
  <si>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</si>
  <si>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</si>
  <si>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</si>
  <si>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</si>
  <si>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</si>
  <si>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</si>
  <si>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</si>
  <si>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</si>
  <si>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</si>
  <si>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</si>
  <si>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</si>
  <si>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</si>
  <si>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</si>
  <si>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</si>
  <si>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</si>
  <si>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</si>
  <si>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</si>
  <si>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</si>
  <si>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</si>
  <si>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</si>
  <si>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</si>
  <si>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</si>
  <si>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</si>
  <si>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</si>
  <si>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</si>
  <si>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</si>
  <si>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</si>
  <si>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</si>
  <si>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</si>
  <si>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</si>
  <si>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</si>
  <si>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</si>
  <si>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</si>
  <si>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</si>
  <si>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</si>
  <si>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</si>
  <si>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</si>
  <si>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</si>
  <si>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</si>
  <si>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</si>
  <si>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</si>
  <si>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</si>
  <si>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</si>
  <si>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</si>
  <si>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</si>
  <si>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</si>
  <si>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</si>
  <si>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</si>
  <si>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</si>
  <si>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</si>
  <si>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</si>
  <si>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</si>
  <si>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</si>
  <si>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</si>
  <si>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</si>
  <si>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</si>
  <si>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</si>
  <si>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</si>
  <si>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</si>
  <si>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</si>
  <si>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</si>
  <si>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</si>
  <si>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</si>
  <si>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</si>
  <si>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</si>
  <si>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</si>
  <si>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Діяльність лікарняних закладів</t>
  </si>
  <si>
    <t>Інші цілі (з-плата 1пол.січня 2024)</t>
  </si>
  <si>
    <t>КОМУНАЛЬНОГО НЕКОМЕРЦІЙНОГО ПІДПРИЄМСТВА «МАЛИНСЬКА МІСЬКА ЛІКАРНЯ» МАЛИНСЬКОЇ МІСЬКОЇ РАДИ</t>
  </si>
  <si>
    <t>на 2026 рік</t>
  </si>
  <si>
    <t>Військовий збір 5%</t>
  </si>
  <si>
    <t>Директор</t>
  </si>
  <si>
    <t>Михайло ДРАГОМЕРЕЦЬКИЙ</t>
  </si>
  <si>
    <t>Інші витрати (медичне обладнання та  оренда житла мед працівникам ін)</t>
  </si>
  <si>
    <t>Додаток 1 до рішення</t>
  </si>
  <si>
    <t xml:space="preserve"> Малинської міської ради </t>
  </si>
  <si>
    <t>79-ї сесії 8-го скликання</t>
  </si>
  <si>
    <t>від 24.12.2025 № 1607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</si>
</sst>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shrinkToFit="1"/>
    </xf>
    <xf numFmtId="165" fontId="1" fillId="2" borderId="3" xfId="0" applyNumberFormat="1" applyFont="1" applyFill="1" applyBorder="1" applyAlignment="1">
      <alignment horizontal="center" vertical="center" shrinkToFit="1"/>
    </xf>
    <xf numFmtId="165" fontId="4" fillId="2" borderId="3" xfId="0" applyNumberFormat="1" applyFont="1" applyFill="1" applyBorder="1" applyAlignment="1">
      <alignment horizontal="center" vertical="center" shrinkToFit="1"/>
    </xf>
    <xf numFmtId="165" fontId="2" fillId="0" borderId="3" xfId="0" applyNumberFormat="1" applyFont="1" applyFill="1" applyBorder="1" applyAlignment="1">
      <alignment horizontal="center" vertical="center" shrinkToFit="1"/>
    </xf>
    <xf numFmtId="165" fontId="1" fillId="0" borderId="3" xfId="0" applyNumberFormat="1" applyFont="1" applyFill="1" applyBorder="1" applyAlignment="1">
      <alignment horizontal="center" vertical="center" shrinkToFit="1"/>
    </xf>
    <xf numFmtId="165" fontId="2" fillId="0" borderId="3" xfId="0" applyNumberFormat="1" applyFont="1" applyFill="1" applyBorder="1" applyAlignment="1">
      <alignment vertical="center" shrinkToFit="1"/>
    </xf>
    <xf numFmtId="165" fontId="2" fillId="2" borderId="3" xfId="0" applyNumberFormat="1" applyFont="1" applyFill="1" applyBorder="1" applyAlignment="1">
      <alignment vertical="center" shrinkToFit="1"/>
    </xf>
    <xf numFmtId="165" fontId="2" fillId="0" borderId="3" xfId="0" applyNumberFormat="1" applyFont="1" applyFill="1" applyBorder="1" applyAlignment="1">
      <alignment horizontal="right" vertical="center" shrinkToFit="1"/>
    </xf>
    <xf numFmtId="165" fontId="1" fillId="0" borderId="3" xfId="0" applyNumberFormat="1" applyFont="1" applyBorder="1" applyAlignment="1">
      <alignment vertical="center" shrinkToFit="1"/>
    </xf>
    <xf numFmtId="165" fontId="1" fillId="0" borderId="0" xfId="0" applyNumberFormat="1" applyFont="1" applyAlignment="1">
      <alignment vertical="center" shrinkToFit="1"/>
    </xf>
    <xf numFmtId="165" fontId="1" fillId="0" borderId="3" xfId="0" applyNumberFormat="1" applyFont="1" applyFill="1" applyBorder="1" applyAlignment="1">
      <alignment vertical="center" shrinkToFit="1"/>
    </xf>
    <xf numFmtId="165" fontId="1" fillId="0" borderId="3" xfId="0" applyNumberFormat="1" applyFont="1" applyFill="1" applyBorder="1" applyAlignment="1">
      <alignment horizontal="right" vertical="center" shrinkToFit="1"/>
    </xf>
    <xf numFmtId="165" fontId="2" fillId="0" borderId="3" xfId="0" applyNumberFormat="1" applyFont="1" applyBorder="1" applyAlignment="1">
      <alignment vertical="center" shrinkToFit="1"/>
    </xf>
    <xf numFmtId="165" fontId="2" fillId="0" borderId="0" xfId="0" applyNumberFormat="1" applyFont="1" applyAlignment="1">
      <alignment vertical="center" shrinkToFit="1"/>
    </xf>
    <xf numFmtId="165" fontId="1" fillId="0" borderId="3" xfId="0" applyNumberFormat="1" applyFont="1" applyBorder="1" applyAlignment="1">
      <alignment horizontal="right" vertical="center" shrinkToFit="1"/>
    </xf>
    <xf numFmtId="165" fontId="4" fillId="0" borderId="3" xfId="0" applyNumberFormat="1" applyFont="1" applyBorder="1" applyAlignment="1">
      <alignment horizontal="right" vertical="center" shrinkToFit="1"/>
    </xf>
    <xf numFmtId="165" fontId="2" fillId="0" borderId="3" xfId="0" applyNumberFormat="1" applyFont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view="pageBreakPreview" topLeftCell="A16" zoomScale="120" zoomScaleNormal="120" zoomScaleSheetLayoutView="120" workbookViewId="0">
      <selection activeCell="E3" sqref="E3:I3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37" customWidth="1"/>
    <col min="7" max="7" width="9.5703125" style="37" bestFit="1" customWidth="1"/>
    <col min="8" max="8" width="8.85546875" style="37" customWidth="1"/>
    <col min="9" max="9" width="12.7109375" style="37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25"/>
      <c r="F1" s="25"/>
      <c r="G1" s="89"/>
      <c r="H1" s="89"/>
      <c r="I1" s="79" t="s">
        <v>201</v>
      </c>
    </row>
    <row r="2" spans="1:10" s="17" customFormat="1" ht="15.6" customHeight="1" x14ac:dyDescent="0.25">
      <c r="E2" s="142" t="s">
        <v>202</v>
      </c>
      <c r="F2" s="142"/>
      <c r="G2" s="142"/>
      <c r="H2" s="142"/>
      <c r="I2" s="142"/>
    </row>
    <row r="3" spans="1:10" s="17" customFormat="1" ht="15" customHeight="1" x14ac:dyDescent="0.25">
      <c r="E3" s="142" t="s">
        <v>203</v>
      </c>
      <c r="F3" s="142"/>
      <c r="G3" s="142"/>
      <c r="H3" s="142"/>
      <c r="I3" s="142"/>
    </row>
    <row r="4" spans="1:10" s="17" customFormat="1" ht="15" customHeight="1" x14ac:dyDescent="0.25">
      <c r="B4" s="16"/>
      <c r="E4" s="25"/>
      <c r="F4" s="142" t="s">
        <v>204</v>
      </c>
      <c r="G4" s="142"/>
      <c r="H4" s="142"/>
      <c r="I4" s="142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54" t="s">
        <v>0</v>
      </c>
      <c r="H6" s="154"/>
      <c r="I6" s="155"/>
    </row>
    <row r="7" spans="1:10" ht="33" customHeight="1" x14ac:dyDescent="0.25">
      <c r="A7" s="5" t="s">
        <v>1</v>
      </c>
      <c r="B7" s="148" t="s">
        <v>188</v>
      </c>
      <c r="C7" s="149"/>
      <c r="D7" s="149"/>
      <c r="E7" s="149"/>
      <c r="F7" s="150"/>
      <c r="G7" s="156" t="s">
        <v>2</v>
      </c>
      <c r="H7" s="156"/>
      <c r="I7" s="96" t="s">
        <v>189</v>
      </c>
    </row>
    <row r="8" spans="1:10" ht="24.6" customHeight="1" x14ac:dyDescent="0.25">
      <c r="A8" s="5" t="s">
        <v>3</v>
      </c>
      <c r="B8" s="148" t="s">
        <v>158</v>
      </c>
      <c r="C8" s="149"/>
      <c r="D8" s="149"/>
      <c r="E8" s="149"/>
      <c r="F8" s="150"/>
      <c r="G8" s="156" t="s">
        <v>4</v>
      </c>
      <c r="H8" s="156"/>
      <c r="I8" s="97"/>
    </row>
    <row r="9" spans="1:10" ht="15.6" customHeight="1" x14ac:dyDescent="0.25">
      <c r="A9" s="5" t="s">
        <v>5</v>
      </c>
      <c r="B9" s="148" t="s">
        <v>191</v>
      </c>
      <c r="C9" s="149"/>
      <c r="D9" s="149"/>
      <c r="E9" s="149"/>
      <c r="F9" s="150"/>
      <c r="G9" s="156" t="s">
        <v>6</v>
      </c>
      <c r="H9" s="156"/>
      <c r="I9" s="98"/>
    </row>
    <row r="10" spans="1:10" ht="18" customHeight="1" x14ac:dyDescent="0.25">
      <c r="A10" s="6" t="s">
        <v>7</v>
      </c>
      <c r="B10" s="148" t="s">
        <v>193</v>
      </c>
      <c r="C10" s="149"/>
      <c r="D10" s="149"/>
      <c r="E10" s="149"/>
      <c r="F10" s="150"/>
      <c r="G10" s="156" t="s">
        <v>8</v>
      </c>
      <c r="H10" s="156"/>
      <c r="I10" s="98" t="s">
        <v>190</v>
      </c>
      <c r="J10" s="4"/>
    </row>
    <row r="11" spans="1:10" ht="27.6" customHeight="1" x14ac:dyDescent="0.25">
      <c r="A11" s="5" t="s">
        <v>9</v>
      </c>
      <c r="B11" s="148" t="s">
        <v>192</v>
      </c>
      <c r="C11" s="149"/>
      <c r="D11" s="149"/>
      <c r="E11" s="149"/>
      <c r="F11" s="150"/>
      <c r="G11" s="156" t="s">
        <v>10</v>
      </c>
      <c r="H11" s="156"/>
      <c r="I11" s="99">
        <v>1810900000</v>
      </c>
    </row>
    <row r="12" spans="1:10" ht="13.9" customHeight="1" x14ac:dyDescent="0.25">
      <c r="A12" s="5" t="s">
        <v>11</v>
      </c>
      <c r="B12" s="151"/>
      <c r="C12" s="152"/>
      <c r="D12" s="152"/>
      <c r="E12" s="152"/>
      <c r="F12" s="153"/>
      <c r="G12" s="5"/>
      <c r="H12" s="87"/>
      <c r="I12" s="98"/>
    </row>
    <row r="13" spans="1:10" ht="16.149999999999999" customHeight="1" x14ac:dyDescent="0.25">
      <c r="A13" s="6" t="s">
        <v>198</v>
      </c>
      <c r="B13" s="148" t="s">
        <v>199</v>
      </c>
      <c r="C13" s="149"/>
      <c r="D13" s="149"/>
      <c r="E13" s="149"/>
      <c r="F13" s="150"/>
      <c r="G13" s="88"/>
      <c r="H13" s="88"/>
      <c r="I13" s="86"/>
    </row>
    <row r="14" spans="1:10" x14ac:dyDescent="0.25">
      <c r="A14" s="7"/>
      <c r="F14" s="2"/>
      <c r="G14" s="80"/>
      <c r="H14" s="2"/>
      <c r="I14" s="2"/>
    </row>
    <row r="15" spans="1:10" ht="13.15" customHeight="1" x14ac:dyDescent="0.25">
      <c r="A15" s="145" t="s">
        <v>176</v>
      </c>
      <c r="B15" s="145"/>
      <c r="C15" s="145"/>
      <c r="D15" s="145"/>
      <c r="E15" s="145"/>
      <c r="F15" s="145"/>
      <c r="G15" s="145"/>
      <c r="H15" s="145"/>
      <c r="I15" s="145"/>
    </row>
    <row r="16" spans="1:10" ht="32.450000000000003" customHeight="1" x14ac:dyDescent="0.25">
      <c r="A16" s="147" t="s">
        <v>195</v>
      </c>
      <c r="B16" s="147"/>
      <c r="C16" s="147"/>
      <c r="D16" s="147"/>
      <c r="E16" s="147"/>
      <c r="F16" s="147"/>
      <c r="G16" s="147"/>
      <c r="H16" s="147"/>
      <c r="I16" s="147"/>
    </row>
    <row r="17" spans="1:12" x14ac:dyDescent="0.25">
      <c r="A17" s="145" t="s">
        <v>196</v>
      </c>
      <c r="B17" s="145"/>
      <c r="C17" s="145"/>
      <c r="D17" s="145"/>
      <c r="E17" s="145"/>
      <c r="F17" s="145"/>
      <c r="G17" s="145"/>
      <c r="H17" s="145"/>
      <c r="I17" s="145"/>
    </row>
    <row r="18" spans="1:12" x14ac:dyDescent="0.25">
      <c r="A18" s="8"/>
      <c r="F18" s="8"/>
      <c r="G18" s="1"/>
      <c r="H18" s="2"/>
      <c r="I18" s="8" t="s">
        <v>12</v>
      </c>
    </row>
    <row r="19" spans="1:12" x14ac:dyDescent="0.25">
      <c r="A19" s="145" t="s">
        <v>13</v>
      </c>
      <c r="B19" s="145"/>
      <c r="C19" s="145"/>
      <c r="D19" s="145"/>
      <c r="E19" s="145"/>
      <c r="F19" s="145"/>
      <c r="G19" s="145"/>
      <c r="H19" s="145"/>
      <c r="I19" s="145"/>
    </row>
    <row r="20" spans="1:12" x14ac:dyDescent="0.25">
      <c r="G20" s="78"/>
    </row>
    <row r="21" spans="1:12" s="4" customFormat="1" ht="26.45" customHeight="1" x14ac:dyDescent="0.25">
      <c r="A21" s="144" t="s">
        <v>14</v>
      </c>
      <c r="B21" s="144" t="s">
        <v>88</v>
      </c>
      <c r="C21" s="144" t="s">
        <v>178</v>
      </c>
      <c r="D21" s="144" t="s">
        <v>177</v>
      </c>
      <c r="E21" s="144" t="s">
        <v>179</v>
      </c>
      <c r="F21" s="144" t="s">
        <v>171</v>
      </c>
      <c r="G21" s="144"/>
      <c r="H21" s="144"/>
      <c r="I21" s="144"/>
      <c r="J21" s="1"/>
    </row>
    <row r="22" spans="1:12" s="4" customFormat="1" ht="25.15" customHeight="1" x14ac:dyDescent="0.25">
      <c r="A22" s="144"/>
      <c r="B22" s="144"/>
      <c r="C22" s="144"/>
      <c r="D22" s="144"/>
      <c r="E22" s="144"/>
      <c r="F22" s="33" t="s">
        <v>172</v>
      </c>
      <c r="G22" s="33" t="s">
        <v>173</v>
      </c>
      <c r="H22" s="33" t="s">
        <v>174</v>
      </c>
      <c r="I22" s="33" t="s">
        <v>175</v>
      </c>
      <c r="J22" s="1"/>
    </row>
    <row r="23" spans="1:12" s="4" customFormat="1" x14ac:dyDescent="0.25">
      <c r="A23" s="33">
        <v>1</v>
      </c>
      <c r="B23" s="33">
        <v>2</v>
      </c>
      <c r="C23" s="33">
        <v>3</v>
      </c>
      <c r="D23" s="33">
        <v>4</v>
      </c>
      <c r="E23" s="33">
        <v>5</v>
      </c>
      <c r="F23" s="33">
        <v>6</v>
      </c>
      <c r="G23" s="33">
        <v>7</v>
      </c>
      <c r="H23" s="33">
        <v>8</v>
      </c>
      <c r="I23" s="33">
        <v>9</v>
      </c>
      <c r="J23" s="1"/>
    </row>
    <row r="24" spans="1:12" x14ac:dyDescent="0.25">
      <c r="A24" s="6" t="s">
        <v>15</v>
      </c>
      <c r="B24" s="26"/>
      <c r="C24" s="26"/>
      <c r="D24" s="26"/>
      <c r="E24" s="26"/>
      <c r="F24" s="38"/>
      <c r="G24" s="38"/>
      <c r="H24" s="38"/>
      <c r="I24" s="38"/>
      <c r="J24" s="1"/>
    </row>
    <row r="25" spans="1:12" ht="30.6" customHeight="1" x14ac:dyDescent="0.25">
      <c r="A25" s="6" t="s">
        <v>16</v>
      </c>
      <c r="B25" s="9">
        <v>100</v>
      </c>
      <c r="C25" s="18">
        <f>SUM(C26:C29)</f>
        <v>71307.099999999991</v>
      </c>
      <c r="D25" s="18">
        <f>SUM(D26:D29)</f>
        <v>85112.400000000009</v>
      </c>
      <c r="E25" s="18">
        <f>SUM(F25:I25)</f>
        <v>113027.6</v>
      </c>
      <c r="F25" s="20">
        <f>SUM(F26:F29)</f>
        <v>24472.000000000004</v>
      </c>
      <c r="G25" s="20">
        <f>SUM(G26:G29)</f>
        <v>27105.800000000003</v>
      </c>
      <c r="H25" s="20">
        <f>SUM(H26:H29)</f>
        <v>26874.7</v>
      </c>
      <c r="I25" s="20">
        <f>SUM(I26:I29)</f>
        <v>34575.1</v>
      </c>
      <c r="J25" s="1"/>
    </row>
    <row r="26" spans="1:12" x14ac:dyDescent="0.25">
      <c r="A26" s="10" t="s">
        <v>17</v>
      </c>
      <c r="B26" s="26">
        <v>101</v>
      </c>
      <c r="C26" s="19">
        <f>5048.7+6145.6+2452.5+1114.3</f>
        <v>14761.099999999999</v>
      </c>
      <c r="D26" s="19">
        <v>19048.2</v>
      </c>
      <c r="E26" s="19">
        <f>SUM(F26:I26)</f>
        <v>21635.5</v>
      </c>
      <c r="F26" s="32">
        <f>5839.1+1000</f>
        <v>6839.1</v>
      </c>
      <c r="G26" s="32">
        <f>2905.9+735.5</f>
        <v>3641.4</v>
      </c>
      <c r="H26" s="32">
        <f>1730.2+400</f>
        <v>2130.1999999999998</v>
      </c>
      <c r="I26" s="19">
        <f>4524.8+4500</f>
        <v>9024.7999999999993</v>
      </c>
      <c r="J26" s="1"/>
    </row>
    <row r="27" spans="1:12" x14ac:dyDescent="0.25">
      <c r="A27" s="10" t="s">
        <v>18</v>
      </c>
      <c r="B27" s="26">
        <v>102</v>
      </c>
      <c r="C27" s="19"/>
      <c r="D27" s="19"/>
      <c r="E27" s="19"/>
      <c r="F27" s="32"/>
      <c r="G27" s="77"/>
      <c r="H27" s="77"/>
      <c r="I27" s="39"/>
      <c r="J27" s="1"/>
    </row>
    <row r="28" spans="1:12" x14ac:dyDescent="0.25">
      <c r="A28" s="10" t="s">
        <v>19</v>
      </c>
      <c r="B28" s="26">
        <v>103</v>
      </c>
      <c r="C28" s="19">
        <f>14268.9+11758.9+14383+13557.5</f>
        <v>53968.3</v>
      </c>
      <c r="D28" s="19">
        <v>62539.4</v>
      </c>
      <c r="E28" s="19">
        <f>SUM(F28:I28)</f>
        <v>83839.400000000009</v>
      </c>
      <c r="F28" s="32">
        <v>16150.7</v>
      </c>
      <c r="G28" s="45">
        <v>21799.4</v>
      </c>
      <c r="H28" s="45">
        <v>22458.3</v>
      </c>
      <c r="I28" s="19">
        <v>23431</v>
      </c>
      <c r="J28" s="1"/>
    </row>
    <row r="29" spans="1:12" x14ac:dyDescent="0.25">
      <c r="A29" s="10" t="s">
        <v>20</v>
      </c>
      <c r="B29" s="26">
        <v>104</v>
      </c>
      <c r="C29" s="19">
        <f>797.9+488.7+582.2+708.9</f>
        <v>2577.6999999999998</v>
      </c>
      <c r="D29" s="19">
        <v>3524.8</v>
      </c>
      <c r="E29" s="19">
        <f>SUM(F29:I29)</f>
        <v>7552.7</v>
      </c>
      <c r="F29" s="45">
        <f>982.2+500</f>
        <v>1482.2</v>
      </c>
      <c r="G29" s="32">
        <f>1165+500</f>
        <v>1665</v>
      </c>
      <c r="H29" s="32">
        <f>1786.2+500</f>
        <v>2286.1999999999998</v>
      </c>
      <c r="I29" s="32">
        <f>1619.3+500</f>
        <v>2119.3000000000002</v>
      </c>
      <c r="J29" s="1"/>
    </row>
    <row r="30" spans="1:12" ht="29.45" customHeight="1" x14ac:dyDescent="0.25">
      <c r="A30" s="6" t="s">
        <v>21</v>
      </c>
      <c r="B30" s="9">
        <v>200</v>
      </c>
      <c r="C30" s="18">
        <f t="shared" ref="C30:I30" si="0">SUM(C31:C54)</f>
        <v>61556.9</v>
      </c>
      <c r="D30" s="18">
        <f t="shared" si="0"/>
        <v>70064.5</v>
      </c>
      <c r="E30" s="18">
        <f t="shared" si="0"/>
        <v>92680.290300000008</v>
      </c>
      <c r="F30" s="20">
        <f t="shared" si="0"/>
        <v>20706.129499999992</v>
      </c>
      <c r="G30" s="20">
        <f>SUM(G31:G54)</f>
        <v>22864.990699999998</v>
      </c>
      <c r="H30" s="20">
        <f t="shared" si="0"/>
        <v>22945.2255</v>
      </c>
      <c r="I30" s="20">
        <f t="shared" si="0"/>
        <v>26163.944599999995</v>
      </c>
      <c r="J30" s="1"/>
    </row>
    <row r="31" spans="1:12" ht="22.15" customHeight="1" x14ac:dyDescent="0.25">
      <c r="A31" s="3" t="s">
        <v>22</v>
      </c>
      <c r="B31" s="26">
        <v>201</v>
      </c>
      <c r="C31" s="19"/>
      <c r="D31" s="19"/>
      <c r="E31" s="19"/>
      <c r="F31" s="32"/>
      <c r="G31" s="82"/>
      <c r="H31" s="82"/>
      <c r="I31" s="39"/>
      <c r="J31" s="1"/>
    </row>
    <row r="32" spans="1:12" ht="15" customHeight="1" x14ac:dyDescent="0.25">
      <c r="A32" s="3" t="s">
        <v>23</v>
      </c>
      <c r="B32" s="26">
        <v>202</v>
      </c>
      <c r="C32" s="19">
        <f>222+114.7+128.2+112.4</f>
        <v>577.29999999999995</v>
      </c>
      <c r="D32" s="19">
        <v>1060.4000000000001</v>
      </c>
      <c r="E32" s="19">
        <f>SUM(F32:I32)</f>
        <v>1380.2</v>
      </c>
      <c r="F32" s="32">
        <v>345</v>
      </c>
      <c r="G32" s="100">
        <v>345.1</v>
      </c>
      <c r="H32" s="32">
        <v>345.1</v>
      </c>
      <c r="I32" s="19">
        <v>345</v>
      </c>
      <c r="J32" s="1"/>
      <c r="L32" s="2" t="s">
        <v>167</v>
      </c>
    </row>
    <row r="33" spans="1:12" x14ac:dyDescent="0.25">
      <c r="A33" s="3" t="s">
        <v>24</v>
      </c>
      <c r="B33" s="26">
        <v>203</v>
      </c>
      <c r="C33" s="19">
        <f>1133.6+659.4+622+584.6</f>
        <v>2999.6</v>
      </c>
      <c r="D33" s="19">
        <v>4244.2</v>
      </c>
      <c r="E33" s="19">
        <f>SUM(F33:I33)</f>
        <v>6812.4</v>
      </c>
      <c r="F33" s="32">
        <v>1800</v>
      </c>
      <c r="G33" s="100">
        <v>1700</v>
      </c>
      <c r="H33" s="32">
        <v>1500</v>
      </c>
      <c r="I33" s="19">
        <v>1812.4</v>
      </c>
      <c r="J33" s="1"/>
    </row>
    <row r="34" spans="1:12" x14ac:dyDescent="0.25">
      <c r="A34" s="3" t="s">
        <v>25</v>
      </c>
      <c r="B34" s="26">
        <v>204</v>
      </c>
      <c r="C34" s="19">
        <f>12076.1+6437.6+9687.7+9864</f>
        <v>38065.4</v>
      </c>
      <c r="D34" s="19">
        <v>40354.400000000001</v>
      </c>
      <c r="E34" s="19">
        <f>SUM(F34:I34)</f>
        <v>52723.700000000004</v>
      </c>
      <c r="F34" s="32">
        <f>10360.5+500-260-20</f>
        <v>10580.5</v>
      </c>
      <c r="G34" s="32">
        <f>13080.3+500-65-140</f>
        <v>13375.3</v>
      </c>
      <c r="H34" s="32">
        <f>13624.5+500-80-180</f>
        <v>13864.5</v>
      </c>
      <c r="I34" s="19">
        <f>14633.4+500-50-180</f>
        <v>14903.4</v>
      </c>
      <c r="J34" s="1"/>
    </row>
    <row r="35" spans="1:12" x14ac:dyDescent="0.25">
      <c r="A35" s="3" t="s">
        <v>26</v>
      </c>
      <c r="B35" s="26">
        <v>205</v>
      </c>
      <c r="C35" s="19">
        <f>2425+1296.3+1942.3+1977.6</f>
        <v>7641.2000000000007</v>
      </c>
      <c r="D35" s="19">
        <v>8821.2999999999993</v>
      </c>
      <c r="E35" s="19">
        <f>SUM(F35:I35)</f>
        <v>11546.490300000001</v>
      </c>
      <c r="F35" s="32">
        <f>F34*0.219</f>
        <v>2317.1295</v>
      </c>
      <c r="G35" s="32">
        <f t="shared" ref="G35:I35" si="1">G34*0.219</f>
        <v>2929.1906999999997</v>
      </c>
      <c r="H35" s="32">
        <f t="shared" si="1"/>
        <v>3036.3254999999999</v>
      </c>
      <c r="I35" s="32">
        <f t="shared" si="1"/>
        <v>3263.8445999999999</v>
      </c>
      <c r="J35" s="1"/>
    </row>
    <row r="36" spans="1:12" ht="52.9" customHeight="1" x14ac:dyDescent="0.25">
      <c r="A36" s="3" t="s">
        <v>27</v>
      </c>
      <c r="B36" s="26">
        <v>206</v>
      </c>
      <c r="C36" s="19">
        <f>324.3+94.9+123.6+146.3</f>
        <v>689.10000000000014</v>
      </c>
      <c r="D36" s="19">
        <v>951.7</v>
      </c>
      <c r="E36" s="19">
        <f>SUM(F36:I36)</f>
        <v>1027.7</v>
      </c>
      <c r="F36" s="32">
        <v>166.4</v>
      </c>
      <c r="G36" s="32">
        <v>324.10000000000002</v>
      </c>
      <c r="H36" s="32">
        <v>306.60000000000002</v>
      </c>
      <c r="I36" s="19">
        <v>230.6</v>
      </c>
      <c r="J36" s="1"/>
    </row>
    <row r="37" spans="1:12" ht="33" customHeight="1" x14ac:dyDescent="0.25">
      <c r="A37" s="3" t="s">
        <v>28</v>
      </c>
      <c r="B37" s="26">
        <v>207</v>
      </c>
      <c r="C37" s="19"/>
      <c r="D37" s="19"/>
      <c r="E37" s="19"/>
      <c r="F37" s="77"/>
      <c r="G37" s="102"/>
      <c r="H37" s="77"/>
      <c r="I37" s="39"/>
      <c r="J37" s="1"/>
    </row>
    <row r="38" spans="1:12" x14ac:dyDescent="0.25">
      <c r="A38" s="3" t="s">
        <v>29</v>
      </c>
      <c r="B38" s="26">
        <v>208</v>
      </c>
      <c r="C38" s="19">
        <f>134.7+100.4+127.1+161.7</f>
        <v>523.9</v>
      </c>
      <c r="D38" s="19">
        <v>507.9</v>
      </c>
      <c r="E38" s="19">
        <f>SUM(F38:I38)</f>
        <v>557.29999999999995</v>
      </c>
      <c r="F38" s="32">
        <v>96</v>
      </c>
      <c r="G38" s="100">
        <v>144</v>
      </c>
      <c r="H38" s="32">
        <v>176</v>
      </c>
      <c r="I38" s="19">
        <v>141.30000000000001</v>
      </c>
      <c r="J38" s="1"/>
    </row>
    <row r="39" spans="1:12" x14ac:dyDescent="0.25">
      <c r="A39" s="3" t="s">
        <v>30</v>
      </c>
      <c r="B39" s="26">
        <v>209</v>
      </c>
      <c r="C39" s="19">
        <f>1645.8+1948.8+1560</f>
        <v>5154.6000000000004</v>
      </c>
      <c r="D39" s="19">
        <v>5508.7</v>
      </c>
      <c r="E39" s="19">
        <f>SUM(F39:I39)</f>
        <v>6092.3</v>
      </c>
      <c r="F39" s="32">
        <v>2935</v>
      </c>
      <c r="G39" s="100">
        <v>835</v>
      </c>
      <c r="H39" s="32">
        <v>0</v>
      </c>
      <c r="I39" s="19">
        <v>2322.3000000000002</v>
      </c>
      <c r="J39" s="1"/>
    </row>
    <row r="40" spans="1:12" x14ac:dyDescent="0.25">
      <c r="A40" s="3" t="s">
        <v>31</v>
      </c>
      <c r="B40" s="26">
        <v>210</v>
      </c>
      <c r="C40" s="19">
        <f>279.7+297.3+168.5+373.1</f>
        <v>1118.5999999999999</v>
      </c>
      <c r="D40" s="19">
        <v>1203.5</v>
      </c>
      <c r="E40" s="19">
        <f>SUM(F40:I40)</f>
        <v>866.7</v>
      </c>
      <c r="F40" s="32">
        <v>204.6</v>
      </c>
      <c r="G40" s="100">
        <v>210.7</v>
      </c>
      <c r="H40" s="45">
        <v>255.7</v>
      </c>
      <c r="I40" s="19">
        <v>195.7</v>
      </c>
      <c r="J40" s="1"/>
    </row>
    <row r="41" spans="1:12" x14ac:dyDescent="0.25">
      <c r="A41" s="3" t="s">
        <v>32</v>
      </c>
      <c r="B41" s="26">
        <v>211</v>
      </c>
      <c r="C41" s="19"/>
      <c r="D41" s="19"/>
      <c r="E41" s="19"/>
      <c r="F41" s="45"/>
      <c r="G41" s="100"/>
      <c r="H41" s="45"/>
      <c r="I41" s="19"/>
      <c r="J41" s="1"/>
    </row>
    <row r="42" spans="1:12" x14ac:dyDescent="0.25">
      <c r="A42" s="3" t="s">
        <v>33</v>
      </c>
      <c r="B42" s="26">
        <v>212</v>
      </c>
      <c r="C42" s="19"/>
      <c r="D42" s="19"/>
      <c r="E42" s="19"/>
      <c r="F42" s="45"/>
      <c r="G42" s="100"/>
      <c r="H42" s="45"/>
      <c r="I42" s="19"/>
      <c r="J42" s="1"/>
    </row>
    <row r="43" spans="1:12" ht="22.15" customHeight="1" x14ac:dyDescent="0.25">
      <c r="A43" s="3" t="s">
        <v>34</v>
      </c>
      <c r="B43" s="26">
        <v>213</v>
      </c>
      <c r="C43" s="19">
        <f>68.3+57.6+32.9+53.1</f>
        <v>211.9</v>
      </c>
      <c r="D43" s="19">
        <v>296.3</v>
      </c>
      <c r="E43" s="19">
        <f t="shared" ref="E43:E48" si="2">SUM(F43:I43)</f>
        <v>434.3</v>
      </c>
      <c r="F43" s="32">
        <v>153.5</v>
      </c>
      <c r="G43" s="100">
        <v>126</v>
      </c>
      <c r="H43" s="32">
        <v>70</v>
      </c>
      <c r="I43" s="19">
        <v>84.8</v>
      </c>
      <c r="L43" s="34" t="s">
        <v>169</v>
      </c>
    </row>
    <row r="44" spans="1:12" ht="33.6" customHeight="1" x14ac:dyDescent="0.25">
      <c r="A44" s="3" t="s">
        <v>35</v>
      </c>
      <c r="B44" s="26">
        <v>214</v>
      </c>
      <c r="C44" s="19">
        <f>1056.6+532.7+742.6+372.1</f>
        <v>2704</v>
      </c>
      <c r="D44" s="19">
        <v>4199.8999999999996</v>
      </c>
      <c r="E44" s="19">
        <f>SUM(F44:I44)</f>
        <v>7000</v>
      </c>
      <c r="F44" s="32">
        <v>1300</v>
      </c>
      <c r="G44" s="100">
        <v>1900</v>
      </c>
      <c r="H44" s="100">
        <v>1900</v>
      </c>
      <c r="I44" s="100">
        <v>1900</v>
      </c>
      <c r="L44" s="2" t="s">
        <v>165</v>
      </c>
    </row>
    <row r="45" spans="1:12" x14ac:dyDescent="0.25">
      <c r="A45" s="3" t="s">
        <v>36</v>
      </c>
      <c r="B45" s="26">
        <v>215</v>
      </c>
      <c r="C45" s="19">
        <f>438.8+35.1+111.2+189.3</f>
        <v>774.40000000000009</v>
      </c>
      <c r="D45" s="19">
        <v>2291.1999999999998</v>
      </c>
      <c r="E45" s="19">
        <f t="shared" si="2"/>
        <v>3411.9999999999995</v>
      </c>
      <c r="F45" s="32">
        <f>561.8+52.8</f>
        <v>614.59999999999991</v>
      </c>
      <c r="G45" s="32">
        <f>822.9-52.8</f>
        <v>770.1</v>
      </c>
      <c r="H45" s="32">
        <v>1272.2</v>
      </c>
      <c r="I45" s="19">
        <v>755.1</v>
      </c>
    </row>
    <row r="46" spans="1:12" x14ac:dyDescent="0.25">
      <c r="A46" s="3" t="s">
        <v>37</v>
      </c>
      <c r="B46" s="26">
        <v>216</v>
      </c>
      <c r="C46" s="19">
        <f>67.6+47+109.9+688.9</f>
        <v>913.4</v>
      </c>
      <c r="D46" s="19">
        <v>300</v>
      </c>
      <c r="E46" s="19">
        <f t="shared" si="2"/>
        <v>360</v>
      </c>
      <c r="F46" s="32">
        <f>73+20</f>
        <v>93</v>
      </c>
      <c r="G46" s="100">
        <f>71+20</f>
        <v>91</v>
      </c>
      <c r="H46" s="32">
        <v>98</v>
      </c>
      <c r="I46" s="19">
        <v>78</v>
      </c>
    </row>
    <row r="47" spans="1:12" x14ac:dyDescent="0.25">
      <c r="A47" s="3" t="s">
        <v>38</v>
      </c>
      <c r="B47" s="26">
        <v>217</v>
      </c>
      <c r="C47" s="19">
        <v>0</v>
      </c>
      <c r="D47" s="19">
        <v>0.9</v>
      </c>
      <c r="E47" s="19">
        <f t="shared" si="2"/>
        <v>15</v>
      </c>
      <c r="F47" s="32">
        <v>0</v>
      </c>
      <c r="G47" s="100">
        <v>0</v>
      </c>
      <c r="H47" s="32">
        <v>0</v>
      </c>
      <c r="I47" s="19">
        <v>15</v>
      </c>
      <c r="L47" s="2" t="s">
        <v>183</v>
      </c>
    </row>
    <row r="48" spans="1:12" ht="51.6" customHeight="1" x14ac:dyDescent="0.25">
      <c r="A48" s="3" t="s">
        <v>39</v>
      </c>
      <c r="B48" s="26">
        <v>218</v>
      </c>
      <c r="C48" s="19">
        <v>0.1</v>
      </c>
      <c r="D48" s="19">
        <v>1.3</v>
      </c>
      <c r="E48" s="19">
        <f t="shared" si="2"/>
        <v>1.7</v>
      </c>
      <c r="F48" s="32">
        <v>1.7</v>
      </c>
      <c r="G48" s="100">
        <v>0</v>
      </c>
      <c r="H48" s="32">
        <v>0</v>
      </c>
      <c r="I48" s="19">
        <v>0</v>
      </c>
    </row>
    <row r="49" spans="1:14" x14ac:dyDescent="0.25">
      <c r="A49" s="3" t="s">
        <v>40</v>
      </c>
      <c r="B49" s="26">
        <v>219</v>
      </c>
      <c r="C49" s="19">
        <v>0</v>
      </c>
      <c r="D49" s="19">
        <v>0</v>
      </c>
      <c r="E49" s="19">
        <f>SUM(F49:I49)</f>
        <v>150</v>
      </c>
      <c r="F49" s="32">
        <f>33.6+6</f>
        <v>39.6</v>
      </c>
      <c r="G49" s="45">
        <f>29.4+6</f>
        <v>35.4</v>
      </c>
      <c r="H49" s="32">
        <f>33.6+6</f>
        <v>39.6</v>
      </c>
      <c r="I49" s="45">
        <f>29.4+6</f>
        <v>35.4</v>
      </c>
    </row>
    <row r="50" spans="1:14" x14ac:dyDescent="0.25">
      <c r="A50" s="3" t="s">
        <v>41</v>
      </c>
      <c r="B50" s="26">
        <v>220</v>
      </c>
      <c r="C50" s="19">
        <f>19+28.1+52.1+21.6</f>
        <v>120.80000000000001</v>
      </c>
      <c r="D50" s="19">
        <v>231</v>
      </c>
      <c r="E50" s="19">
        <f>SUM(F50:I50)</f>
        <v>222</v>
      </c>
      <c r="F50" s="32">
        <f>39.5</f>
        <v>39.5</v>
      </c>
      <c r="G50" s="100">
        <v>59.5</v>
      </c>
      <c r="H50" s="32">
        <v>61.5</v>
      </c>
      <c r="I50" s="19">
        <v>61.5</v>
      </c>
    </row>
    <row r="51" spans="1:14" x14ac:dyDescent="0.25">
      <c r="A51" s="3" t="s">
        <v>42</v>
      </c>
      <c r="B51" s="26">
        <v>221</v>
      </c>
      <c r="C51" s="19">
        <f>6.9+22.8+15.4+17.5</f>
        <v>62.6</v>
      </c>
      <c r="D51" s="19">
        <v>91.8</v>
      </c>
      <c r="E51" s="19">
        <f>SUM(F51:I51)</f>
        <v>78.5</v>
      </c>
      <c r="F51" s="32">
        <v>19.600000000000001</v>
      </c>
      <c r="G51" s="45">
        <v>19.600000000000001</v>
      </c>
      <c r="H51" s="32">
        <v>19.7</v>
      </c>
      <c r="I51" s="45">
        <v>19.600000000000001</v>
      </c>
    </row>
    <row r="52" spans="1:14" ht="19.899999999999999" customHeight="1" x14ac:dyDescent="0.25">
      <c r="A52" s="3" t="s">
        <v>43</v>
      </c>
      <c r="B52" s="26">
        <v>222</v>
      </c>
      <c r="C52" s="19"/>
      <c r="D52" s="19"/>
      <c r="E52" s="19"/>
      <c r="F52" s="82"/>
      <c r="G52" s="82"/>
      <c r="H52" s="77"/>
      <c r="I52" s="39"/>
    </row>
    <row r="53" spans="1:14" ht="19.149999999999999" customHeight="1" x14ac:dyDescent="0.25">
      <c r="A53" s="3" t="s">
        <v>44</v>
      </c>
      <c r="B53" s="26">
        <v>223</v>
      </c>
      <c r="C53" s="19"/>
      <c r="D53" s="19"/>
      <c r="E53" s="19"/>
      <c r="F53" s="82"/>
      <c r="G53" s="82"/>
      <c r="H53" s="77"/>
      <c r="I53" s="39"/>
    </row>
    <row r="54" spans="1:14" ht="18.600000000000001" customHeight="1" x14ac:dyDescent="0.25">
      <c r="A54" s="3" t="s">
        <v>45</v>
      </c>
      <c r="B54" s="26">
        <v>224</v>
      </c>
      <c r="C54" s="19"/>
      <c r="D54" s="19"/>
      <c r="E54" s="19"/>
      <c r="F54" s="45"/>
      <c r="G54" s="45"/>
      <c r="H54" s="45"/>
      <c r="I54" s="19"/>
      <c r="L54" s="2" t="s">
        <v>168</v>
      </c>
      <c r="N54" s="2" t="s">
        <v>185</v>
      </c>
    </row>
    <row r="55" spans="1:14" ht="15" customHeight="1" x14ac:dyDescent="0.25">
      <c r="A55" s="6" t="s">
        <v>46</v>
      </c>
      <c r="B55" s="9">
        <v>300</v>
      </c>
      <c r="C55" s="20">
        <f>SUM(C56:C77)</f>
        <v>9084.6999999999989</v>
      </c>
      <c r="D55" s="20">
        <f>SUM(D56:D77)</f>
        <v>9892.1999999999989</v>
      </c>
      <c r="E55" s="20">
        <f>SUM(E56:E77)</f>
        <v>13955.973400000001</v>
      </c>
      <c r="F55" s="20">
        <f>SUM(F56:F75)</f>
        <v>2667.37</v>
      </c>
      <c r="G55" s="20">
        <f>SUM(G56:G75)</f>
        <v>3400.03</v>
      </c>
      <c r="H55" s="20">
        <f>SUM(H56:H75)</f>
        <v>3417.57</v>
      </c>
      <c r="I55" s="20">
        <f>SUM(I56:I75)</f>
        <v>3779.6034</v>
      </c>
    </row>
    <row r="56" spans="1:14" ht="33" customHeight="1" x14ac:dyDescent="0.25">
      <c r="A56" s="3" t="s">
        <v>47</v>
      </c>
      <c r="B56" s="26">
        <v>301</v>
      </c>
      <c r="C56" s="19">
        <f>13.3+11.6+25.3+5.1</f>
        <v>55.300000000000004</v>
      </c>
      <c r="D56" s="19">
        <v>210</v>
      </c>
      <c r="E56" s="19">
        <f>SUM(F56:I56)</f>
        <v>210</v>
      </c>
      <c r="F56" s="32">
        <v>43.5</v>
      </c>
      <c r="G56" s="32">
        <v>74</v>
      </c>
      <c r="H56" s="32">
        <v>44.5</v>
      </c>
      <c r="I56" s="19">
        <v>48</v>
      </c>
    </row>
    <row r="57" spans="1:14" ht="15" customHeight="1" x14ac:dyDescent="0.25">
      <c r="A57" s="3" t="s">
        <v>48</v>
      </c>
      <c r="B57" s="26">
        <v>302</v>
      </c>
      <c r="C57" s="19"/>
      <c r="D57" s="19"/>
      <c r="E57" s="19"/>
      <c r="F57" s="82"/>
      <c r="G57" s="77"/>
      <c r="H57" s="77"/>
      <c r="I57" s="39"/>
    </row>
    <row r="58" spans="1:14" x14ac:dyDescent="0.25">
      <c r="A58" s="3" t="s">
        <v>49</v>
      </c>
      <c r="B58" s="26">
        <v>303</v>
      </c>
      <c r="C58" s="19"/>
      <c r="D58" s="19"/>
      <c r="E58" s="19"/>
      <c r="F58" s="82"/>
      <c r="G58" s="77"/>
      <c r="H58" s="77"/>
      <c r="I58" s="39"/>
    </row>
    <row r="59" spans="1:14" x14ac:dyDescent="0.25">
      <c r="A59" s="3" t="s">
        <v>50</v>
      </c>
      <c r="B59" s="26">
        <v>304</v>
      </c>
      <c r="C59" s="19">
        <f>2.2+3.8</f>
        <v>6</v>
      </c>
      <c r="D59" s="19">
        <v>7.6</v>
      </c>
      <c r="E59" s="19">
        <f>SUM(F59:I59)</f>
        <v>24</v>
      </c>
      <c r="F59" s="32">
        <v>8.5</v>
      </c>
      <c r="G59" s="32">
        <v>0</v>
      </c>
      <c r="H59" s="32">
        <v>15.5</v>
      </c>
      <c r="I59" s="19">
        <v>0</v>
      </c>
      <c r="L59" s="2" t="s">
        <v>182</v>
      </c>
    </row>
    <row r="60" spans="1:14" x14ac:dyDescent="0.25">
      <c r="A60" s="3" t="s">
        <v>51</v>
      </c>
      <c r="B60" s="26">
        <v>305</v>
      </c>
      <c r="C60" s="19"/>
      <c r="D60" s="19"/>
      <c r="E60" s="19"/>
      <c r="F60" s="82"/>
      <c r="G60" s="77"/>
      <c r="H60" s="77"/>
      <c r="I60" s="39"/>
    </row>
    <row r="61" spans="1:14" x14ac:dyDescent="0.25">
      <c r="A61" s="3" t="s">
        <v>52</v>
      </c>
      <c r="B61" s="26">
        <v>306</v>
      </c>
      <c r="C61" s="19"/>
      <c r="D61" s="19"/>
      <c r="E61" s="19"/>
      <c r="F61" s="82"/>
      <c r="G61" s="77"/>
      <c r="H61" s="77"/>
      <c r="I61" s="39"/>
    </row>
    <row r="62" spans="1:14" x14ac:dyDescent="0.25">
      <c r="A62" s="3" t="s">
        <v>53</v>
      </c>
      <c r="B62" s="26">
        <v>307</v>
      </c>
      <c r="C62" s="19">
        <f>6.8+4.3+7.1+5.5</f>
        <v>23.7</v>
      </c>
      <c r="D62" s="19">
        <v>26.5</v>
      </c>
      <c r="E62" s="19">
        <f>SUM(F62:I62)</f>
        <v>27.1</v>
      </c>
      <c r="F62" s="32">
        <v>5.5</v>
      </c>
      <c r="G62" s="45">
        <v>6.8</v>
      </c>
      <c r="H62" s="32">
        <v>6.8</v>
      </c>
      <c r="I62" s="32">
        <v>8</v>
      </c>
    </row>
    <row r="63" spans="1:14" x14ac:dyDescent="0.25">
      <c r="A63" s="3" t="s">
        <v>54</v>
      </c>
      <c r="B63" s="26">
        <v>308</v>
      </c>
      <c r="C63" s="19">
        <f>2122.6+1701.4+1189.9+1705.9</f>
        <v>6719.7999999999993</v>
      </c>
      <c r="D63" s="19">
        <v>6929.7</v>
      </c>
      <c r="E63" s="19">
        <f>SUM(F63:I63)</f>
        <v>9818.6</v>
      </c>
      <c r="F63" s="32">
        <v>1930</v>
      </c>
      <c r="G63" s="32">
        <f>2330+140</f>
        <v>2470</v>
      </c>
      <c r="H63" s="32">
        <f>2350+180</f>
        <v>2530</v>
      </c>
      <c r="I63" s="19">
        <f>2708.6+180</f>
        <v>2888.6</v>
      </c>
    </row>
    <row r="64" spans="1:14" x14ac:dyDescent="0.25">
      <c r="A64" s="3" t="s">
        <v>55</v>
      </c>
      <c r="B64" s="26">
        <v>309</v>
      </c>
      <c r="C64" s="19">
        <f>426.2+341+239.6+343.5</f>
        <v>1350.3000000000002</v>
      </c>
      <c r="D64" s="19">
        <v>1514.5</v>
      </c>
      <c r="E64" s="19">
        <f>SUM(F64:I64)</f>
        <v>2150.2734</v>
      </c>
      <c r="F64" s="32">
        <f>F63*0.219</f>
        <v>422.67</v>
      </c>
      <c r="G64" s="32">
        <f t="shared" ref="G64:I64" si="3">G63*0.219</f>
        <v>540.92999999999995</v>
      </c>
      <c r="H64" s="32">
        <f t="shared" si="3"/>
        <v>554.07000000000005</v>
      </c>
      <c r="I64" s="32">
        <f t="shared" si="3"/>
        <v>632.60339999999997</v>
      </c>
    </row>
    <row r="65" spans="1:13" ht="34.9" customHeight="1" x14ac:dyDescent="0.25">
      <c r="A65" s="3" t="s">
        <v>56</v>
      </c>
      <c r="B65" s="26">
        <v>310</v>
      </c>
      <c r="C65" s="19"/>
      <c r="D65" s="19"/>
      <c r="E65" s="19"/>
      <c r="F65" s="82"/>
      <c r="G65" s="77"/>
      <c r="H65" s="82"/>
      <c r="I65" s="39"/>
    </row>
    <row r="66" spans="1:13" ht="51" customHeight="1" x14ac:dyDescent="0.25">
      <c r="A66" s="3" t="s">
        <v>57</v>
      </c>
      <c r="B66" s="26">
        <v>311</v>
      </c>
      <c r="C66" s="19"/>
      <c r="D66" s="19"/>
      <c r="E66" s="19"/>
      <c r="F66" s="82"/>
      <c r="G66" s="77"/>
      <c r="H66" s="82"/>
      <c r="I66" s="39"/>
    </row>
    <row r="67" spans="1:13" ht="31.5" x14ac:dyDescent="0.25">
      <c r="A67" s="3" t="s">
        <v>159</v>
      </c>
      <c r="B67" s="26">
        <v>312</v>
      </c>
      <c r="C67" s="19"/>
      <c r="D67" s="19"/>
      <c r="E67" s="19"/>
      <c r="F67" s="82"/>
      <c r="G67" s="77"/>
      <c r="H67" s="82"/>
      <c r="I67" s="39"/>
    </row>
    <row r="68" spans="1:13" ht="34.15" customHeight="1" x14ac:dyDescent="0.25">
      <c r="A68" s="3" t="s">
        <v>58</v>
      </c>
      <c r="B68" s="26">
        <v>313</v>
      </c>
      <c r="C68" s="19"/>
      <c r="D68" s="19"/>
      <c r="E68" s="19"/>
      <c r="F68" s="82"/>
      <c r="G68" s="77"/>
      <c r="H68" s="82"/>
      <c r="I68" s="39"/>
    </row>
    <row r="69" spans="1:13" x14ac:dyDescent="0.25">
      <c r="A69" s="3" t="s">
        <v>59</v>
      </c>
      <c r="B69" s="26">
        <v>314</v>
      </c>
      <c r="C69" s="19"/>
      <c r="D69" s="19"/>
      <c r="E69" s="19"/>
      <c r="F69" s="82"/>
      <c r="G69" s="77"/>
      <c r="H69" s="82"/>
      <c r="I69" s="39"/>
    </row>
    <row r="70" spans="1:13" ht="15" customHeight="1" x14ac:dyDescent="0.25">
      <c r="A70" s="3" t="s">
        <v>60</v>
      </c>
      <c r="B70" s="26">
        <v>315</v>
      </c>
      <c r="C70" s="19"/>
      <c r="D70" s="19"/>
      <c r="E70" s="19"/>
      <c r="F70" s="82"/>
      <c r="G70" s="77"/>
      <c r="H70" s="82"/>
      <c r="I70" s="39"/>
    </row>
    <row r="71" spans="1:13" x14ac:dyDescent="0.25">
      <c r="A71" s="3" t="s">
        <v>61</v>
      </c>
      <c r="B71" s="26">
        <v>316</v>
      </c>
      <c r="C71" s="19"/>
      <c r="D71" s="19"/>
      <c r="E71" s="19"/>
      <c r="F71" s="45"/>
      <c r="G71" s="32"/>
      <c r="H71" s="45"/>
      <c r="I71" s="19"/>
    </row>
    <row r="72" spans="1:13" x14ac:dyDescent="0.25">
      <c r="A72" s="3" t="s">
        <v>62</v>
      </c>
      <c r="B72" s="26">
        <v>317</v>
      </c>
      <c r="C72" s="19"/>
      <c r="D72" s="19"/>
      <c r="E72" s="19"/>
      <c r="F72" s="82"/>
      <c r="G72" s="77"/>
      <c r="H72" s="82"/>
      <c r="I72" s="39"/>
    </row>
    <row r="73" spans="1:13" ht="33.6" customHeight="1" x14ac:dyDescent="0.25">
      <c r="A73" s="3" t="s">
        <v>63</v>
      </c>
      <c r="B73" s="26">
        <v>318</v>
      </c>
      <c r="C73" s="19">
        <f>30.9+12.3+12.6+1.2</f>
        <v>57.000000000000007</v>
      </c>
      <c r="D73" s="19">
        <v>249.9</v>
      </c>
      <c r="E73" s="19">
        <f>SUM(F73:I73)</f>
        <v>343.20000000000005</v>
      </c>
      <c r="F73" s="32">
        <v>35.700000000000003</v>
      </c>
      <c r="G73" s="32">
        <v>140.30000000000001</v>
      </c>
      <c r="H73" s="32">
        <v>111.6</v>
      </c>
      <c r="I73" s="19">
        <v>55.6</v>
      </c>
    </row>
    <row r="74" spans="1:13" ht="31.9" customHeight="1" x14ac:dyDescent="0.25">
      <c r="A74" s="3" t="s">
        <v>64</v>
      </c>
      <c r="B74" s="26">
        <v>319</v>
      </c>
      <c r="C74" s="19"/>
      <c r="D74" s="19"/>
      <c r="E74" s="19"/>
      <c r="F74" s="82"/>
      <c r="G74" s="77"/>
      <c r="H74" s="82"/>
      <c r="I74" s="39"/>
    </row>
    <row r="75" spans="1:13" ht="51" customHeight="1" x14ac:dyDescent="0.25">
      <c r="A75" s="6" t="s">
        <v>65</v>
      </c>
      <c r="B75" s="9">
        <v>320</v>
      </c>
      <c r="C75" s="20">
        <f t="shared" ref="C75:I75" si="4">SUM(C76:C77)</f>
        <v>436.3</v>
      </c>
      <c r="D75" s="20">
        <f t="shared" si="4"/>
        <v>477</v>
      </c>
      <c r="E75" s="20">
        <f t="shared" si="4"/>
        <v>691.40000000000009</v>
      </c>
      <c r="F75" s="20">
        <f t="shared" si="4"/>
        <v>221.5</v>
      </c>
      <c r="G75" s="20">
        <f t="shared" si="4"/>
        <v>168</v>
      </c>
      <c r="H75" s="20">
        <f t="shared" si="4"/>
        <v>155.1</v>
      </c>
      <c r="I75" s="20">
        <f t="shared" si="4"/>
        <v>146.80000000000001</v>
      </c>
      <c r="L75" s="2" t="s">
        <v>184</v>
      </c>
    </row>
    <row r="76" spans="1:13" ht="15" customHeight="1" x14ac:dyDescent="0.25">
      <c r="A76" s="3" t="s">
        <v>66</v>
      </c>
      <c r="B76" s="26">
        <v>321</v>
      </c>
      <c r="C76" s="19"/>
      <c r="D76" s="19"/>
      <c r="E76" s="19"/>
      <c r="F76" s="77"/>
      <c r="G76" s="77"/>
      <c r="H76" s="39"/>
      <c r="I76" s="39"/>
    </row>
    <row r="77" spans="1:13" ht="15" customHeight="1" x14ac:dyDescent="0.25">
      <c r="A77" s="3" t="s">
        <v>67</v>
      </c>
      <c r="B77" s="26">
        <v>322</v>
      </c>
      <c r="C77" s="19">
        <f>250.5+32.1+71.5+82.2</f>
        <v>436.3</v>
      </c>
      <c r="D77" s="19">
        <v>477</v>
      </c>
      <c r="E77" s="19">
        <f>SUM(F77:I77)</f>
        <v>691.40000000000009</v>
      </c>
      <c r="F77" s="32">
        <v>221.5</v>
      </c>
      <c r="G77" s="32">
        <v>168</v>
      </c>
      <c r="H77" s="19">
        <v>155.1</v>
      </c>
      <c r="I77" s="19">
        <v>146.80000000000001</v>
      </c>
      <c r="L77" s="2" t="s">
        <v>166</v>
      </c>
      <c r="M77" s="2" t="s">
        <v>164</v>
      </c>
    </row>
    <row r="78" spans="1:13" x14ac:dyDescent="0.25">
      <c r="A78" s="6" t="s">
        <v>68</v>
      </c>
      <c r="B78" s="9">
        <v>400</v>
      </c>
      <c r="C78" s="20">
        <f t="shared" ref="C78:I78" si="5">SUM(C79:C87)</f>
        <v>0</v>
      </c>
      <c r="D78" s="20">
        <f t="shared" si="5"/>
        <v>0</v>
      </c>
      <c r="E78" s="20">
        <f t="shared" si="5"/>
        <v>0</v>
      </c>
      <c r="F78" s="20">
        <f t="shared" si="5"/>
        <v>0</v>
      </c>
      <c r="G78" s="20">
        <f t="shared" si="5"/>
        <v>0</v>
      </c>
      <c r="H78" s="20">
        <f t="shared" si="5"/>
        <v>0</v>
      </c>
      <c r="I78" s="20">
        <f t="shared" si="5"/>
        <v>0</v>
      </c>
    </row>
    <row r="79" spans="1:13" x14ac:dyDescent="0.25">
      <c r="A79" s="3" t="s">
        <v>69</v>
      </c>
      <c r="B79" s="26">
        <v>401</v>
      </c>
      <c r="C79" s="19"/>
      <c r="D79" s="19"/>
      <c r="E79" s="19"/>
      <c r="F79" s="77"/>
      <c r="G79" s="77"/>
      <c r="H79" s="39"/>
      <c r="I79" s="39"/>
    </row>
    <row r="80" spans="1:13" x14ac:dyDescent="0.25">
      <c r="A80" s="3" t="s">
        <v>70</v>
      </c>
      <c r="B80" s="26">
        <v>402</v>
      </c>
      <c r="C80" s="19"/>
      <c r="D80" s="19"/>
      <c r="E80" s="19"/>
      <c r="F80" s="77"/>
      <c r="G80" s="77"/>
      <c r="H80" s="39"/>
      <c r="I80" s="39"/>
    </row>
    <row r="81" spans="1:12" x14ac:dyDescent="0.25">
      <c r="A81" s="3" t="s">
        <v>54</v>
      </c>
      <c r="B81" s="26">
        <v>403</v>
      </c>
      <c r="C81" s="19"/>
      <c r="D81" s="19"/>
      <c r="E81" s="19"/>
      <c r="F81" s="77"/>
      <c r="G81" s="77"/>
      <c r="H81" s="39"/>
      <c r="I81" s="39"/>
    </row>
    <row r="82" spans="1:12" x14ac:dyDescent="0.25">
      <c r="A82" s="3" t="s">
        <v>55</v>
      </c>
      <c r="B82" s="26">
        <v>404</v>
      </c>
      <c r="C82" s="19"/>
      <c r="D82" s="19"/>
      <c r="E82" s="19"/>
      <c r="F82" s="77"/>
      <c r="G82" s="77"/>
      <c r="H82" s="39"/>
      <c r="I82" s="39"/>
    </row>
    <row r="83" spans="1:12" ht="29.45" customHeight="1" x14ac:dyDescent="0.25">
      <c r="A83" s="3" t="s">
        <v>71</v>
      </c>
      <c r="B83" s="26">
        <v>405</v>
      </c>
      <c r="C83" s="19"/>
      <c r="D83" s="19"/>
      <c r="E83" s="19"/>
      <c r="F83" s="77"/>
      <c r="G83" s="77"/>
      <c r="H83" s="39"/>
      <c r="I83" s="39"/>
    </row>
    <row r="84" spans="1:12" x14ac:dyDescent="0.25">
      <c r="A84" s="3" t="s">
        <v>72</v>
      </c>
      <c r="B84" s="26">
        <v>406</v>
      </c>
      <c r="C84" s="19"/>
      <c r="D84" s="19"/>
      <c r="E84" s="19"/>
      <c r="F84" s="77"/>
      <c r="G84" s="77"/>
      <c r="H84" s="39"/>
      <c r="I84" s="39"/>
    </row>
    <row r="85" spans="1:12" x14ac:dyDescent="0.25">
      <c r="A85" s="3" t="s">
        <v>73</v>
      </c>
      <c r="B85" s="26">
        <v>407</v>
      </c>
      <c r="C85" s="19"/>
      <c r="D85" s="19"/>
      <c r="E85" s="19"/>
      <c r="F85" s="77"/>
      <c r="G85" s="77"/>
      <c r="H85" s="39"/>
      <c r="I85" s="39"/>
    </row>
    <row r="86" spans="1:12" ht="15" customHeight="1" x14ac:dyDescent="0.25">
      <c r="A86" s="3" t="s">
        <v>74</v>
      </c>
      <c r="B86" s="26">
        <v>408</v>
      </c>
      <c r="C86" s="19"/>
      <c r="D86" s="19"/>
      <c r="E86" s="19"/>
      <c r="F86" s="77"/>
      <c r="G86" s="77"/>
      <c r="H86" s="39"/>
      <c r="I86" s="39"/>
    </row>
    <row r="87" spans="1:12" ht="15" customHeight="1" x14ac:dyDescent="0.25">
      <c r="A87" s="3" t="s">
        <v>75</v>
      </c>
      <c r="B87" s="26">
        <v>409</v>
      </c>
      <c r="C87" s="19"/>
      <c r="D87" s="19"/>
      <c r="E87" s="19"/>
      <c r="F87" s="77"/>
      <c r="G87" s="77"/>
      <c r="H87" s="39"/>
      <c r="I87" s="39"/>
    </row>
    <row r="88" spans="1:12" x14ac:dyDescent="0.25">
      <c r="A88" s="3" t="s">
        <v>76</v>
      </c>
      <c r="B88" s="26">
        <v>500</v>
      </c>
      <c r="C88" s="19"/>
      <c r="D88" s="19"/>
      <c r="E88" s="19"/>
      <c r="F88" s="77"/>
      <c r="G88" s="77"/>
      <c r="H88" s="39"/>
      <c r="I88" s="39"/>
    </row>
    <row r="89" spans="1:12" ht="31.5" x14ac:dyDescent="0.25">
      <c r="A89" s="3" t="s">
        <v>200</v>
      </c>
      <c r="B89" s="26">
        <v>600</v>
      </c>
      <c r="C89" s="19">
        <f>79.1+69.1+142.4</f>
        <v>290.60000000000002</v>
      </c>
      <c r="D89" s="19">
        <v>5500</v>
      </c>
      <c r="E89" s="19">
        <f>SUM(F89:I89)</f>
        <v>7025.5</v>
      </c>
      <c r="F89" s="32">
        <f>1000+90</f>
        <v>1090</v>
      </c>
      <c r="G89" s="32">
        <f>735.5+90</f>
        <v>825.5</v>
      </c>
      <c r="H89" s="19">
        <f>400+90</f>
        <v>490</v>
      </c>
      <c r="I89" s="19">
        <f>4500+120</f>
        <v>4620</v>
      </c>
      <c r="L89" s="2" t="s">
        <v>170</v>
      </c>
    </row>
    <row r="90" spans="1:12" s="21" customFormat="1" x14ac:dyDescent="0.25">
      <c r="A90" s="6" t="s">
        <v>77</v>
      </c>
      <c r="B90" s="9">
        <v>700</v>
      </c>
      <c r="C90" s="20">
        <f t="shared" ref="C90:I90" si="6">SUM(C25)</f>
        <v>71307.099999999991</v>
      </c>
      <c r="D90" s="20">
        <f t="shared" si="6"/>
        <v>85112.400000000009</v>
      </c>
      <c r="E90" s="20">
        <f>SUM(E25)</f>
        <v>113027.6</v>
      </c>
      <c r="F90" s="20">
        <f t="shared" si="6"/>
        <v>24472.000000000004</v>
      </c>
      <c r="G90" s="20">
        <f>SUM(G25)</f>
        <v>27105.800000000003</v>
      </c>
      <c r="H90" s="20">
        <f t="shared" si="6"/>
        <v>26874.7</v>
      </c>
      <c r="I90" s="20">
        <f t="shared" si="6"/>
        <v>34575.1</v>
      </c>
    </row>
    <row r="91" spans="1:12" s="21" customFormat="1" x14ac:dyDescent="0.25">
      <c r="A91" s="6" t="s">
        <v>78</v>
      </c>
      <c r="B91" s="9">
        <v>800</v>
      </c>
      <c r="C91" s="20">
        <f t="shared" ref="C91:I91" si="7">SUM(C97:C100,C94)</f>
        <v>70495.899999999994</v>
      </c>
      <c r="D91" s="20">
        <f t="shared" si="7"/>
        <v>84979.8</v>
      </c>
      <c r="E91" s="20">
        <f>SUM(E97:E100,E94)</f>
        <v>112970.36369999999</v>
      </c>
      <c r="F91" s="20">
        <f t="shared" si="7"/>
        <v>24463.499499999998</v>
      </c>
      <c r="G91" s="20">
        <f>SUM(G97:G100,G94)</f>
        <v>27090.520699999997</v>
      </c>
      <c r="H91" s="20">
        <f t="shared" si="7"/>
        <v>26852.7955</v>
      </c>
      <c r="I91" s="20">
        <f t="shared" si="7"/>
        <v>34563.548000000003</v>
      </c>
    </row>
    <row r="92" spans="1:12" s="21" customFormat="1" x14ac:dyDescent="0.25">
      <c r="A92" s="6" t="s">
        <v>79</v>
      </c>
      <c r="B92" s="9">
        <v>900</v>
      </c>
      <c r="C92" s="20">
        <f>C90-C91</f>
        <v>811.19999999999709</v>
      </c>
      <c r="D92" s="20">
        <v>132.6</v>
      </c>
      <c r="E92" s="105">
        <f>E90-E91</f>
        <v>57.236300000018673</v>
      </c>
      <c r="F92" s="20">
        <f t="shared" ref="F92" si="8">F90-F91</f>
        <v>8.5005000000055588</v>
      </c>
      <c r="G92" s="20">
        <f>G90-G91</f>
        <v>15.279300000005605</v>
      </c>
      <c r="H92" s="20">
        <f>H90-H91</f>
        <v>21.904500000000553</v>
      </c>
      <c r="I92" s="20">
        <f>I90-I91</f>
        <v>11.551999999996042</v>
      </c>
    </row>
    <row r="93" spans="1:12" x14ac:dyDescent="0.25">
      <c r="A93" s="6" t="s">
        <v>80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162</v>
      </c>
      <c r="B94" s="26">
        <v>1000</v>
      </c>
      <c r="C94" s="32">
        <f t="shared" ref="C94:I94" si="9">C36+C32+C44+C43+C56+C96</f>
        <v>13573.000000000002</v>
      </c>
      <c r="D94" s="32">
        <f t="shared" si="9"/>
        <v>17766.5</v>
      </c>
      <c r="E94" s="32">
        <f>E36+E32+E44+E43+E56+E96</f>
        <v>23902.1</v>
      </c>
      <c r="F94" s="45">
        <f t="shared" si="9"/>
        <v>6967.6</v>
      </c>
      <c r="G94" s="32">
        <f t="shared" si="9"/>
        <v>5534.5</v>
      </c>
      <c r="H94" s="32">
        <f t="shared" si="9"/>
        <v>4441.6000000000004</v>
      </c>
      <c r="I94" s="32">
        <f t="shared" si="9"/>
        <v>6958.4000000000015</v>
      </c>
      <c r="J94" s="1"/>
    </row>
    <row r="95" spans="1:12" ht="18" customHeight="1" x14ac:dyDescent="0.25">
      <c r="A95" s="3" t="s">
        <v>81</v>
      </c>
      <c r="B95" s="26">
        <v>1001</v>
      </c>
      <c r="C95" s="32"/>
      <c r="D95" s="32"/>
      <c r="E95" s="32"/>
      <c r="F95" s="45"/>
      <c r="G95" s="32"/>
      <c r="H95" s="19"/>
      <c r="I95" s="19"/>
      <c r="J95" s="1"/>
    </row>
    <row r="96" spans="1:12" ht="18" customHeight="1" x14ac:dyDescent="0.25">
      <c r="A96" s="3" t="s">
        <v>163</v>
      </c>
      <c r="B96" s="26">
        <v>1002</v>
      </c>
      <c r="C96" s="32">
        <f t="shared" ref="C96:I96" si="10">C33+C39+C40+C41+C42+C51</f>
        <v>9335.4000000000015</v>
      </c>
      <c r="D96" s="32">
        <f t="shared" si="10"/>
        <v>11048.199999999999</v>
      </c>
      <c r="E96" s="32">
        <f t="shared" si="10"/>
        <v>13849.900000000001</v>
      </c>
      <c r="F96" s="45">
        <f t="shared" si="10"/>
        <v>4959.2000000000007</v>
      </c>
      <c r="G96" s="32">
        <f t="shared" si="10"/>
        <v>2765.2999999999997</v>
      </c>
      <c r="H96" s="32">
        <f t="shared" si="10"/>
        <v>1775.4</v>
      </c>
      <c r="I96" s="32">
        <f t="shared" si="10"/>
        <v>4350.0000000000009</v>
      </c>
      <c r="J96" s="11"/>
    </row>
    <row r="97" spans="1:10" x14ac:dyDescent="0.25">
      <c r="A97" s="3" t="s">
        <v>25</v>
      </c>
      <c r="B97" s="26">
        <v>1100</v>
      </c>
      <c r="C97" s="32">
        <f t="shared" ref="C97:I98" si="11">C34+C63+C81</f>
        <v>44785.2</v>
      </c>
      <c r="D97" s="32">
        <f t="shared" si="11"/>
        <v>47284.1</v>
      </c>
      <c r="E97" s="32">
        <f>E34+E63+E81</f>
        <v>62542.3</v>
      </c>
      <c r="F97" s="45">
        <f t="shared" si="11"/>
        <v>12510.5</v>
      </c>
      <c r="G97" s="32">
        <f t="shared" si="11"/>
        <v>15845.3</v>
      </c>
      <c r="H97" s="32">
        <f t="shared" si="11"/>
        <v>16394.5</v>
      </c>
      <c r="I97" s="32">
        <f t="shared" si="11"/>
        <v>17792</v>
      </c>
      <c r="J97" s="11"/>
    </row>
    <row r="98" spans="1:10" x14ac:dyDescent="0.25">
      <c r="A98" s="3" t="s">
        <v>26</v>
      </c>
      <c r="B98" s="26">
        <v>1200</v>
      </c>
      <c r="C98" s="32">
        <f t="shared" si="11"/>
        <v>8991.5</v>
      </c>
      <c r="D98" s="32">
        <v>10335.9</v>
      </c>
      <c r="E98" s="32">
        <f t="shared" si="11"/>
        <v>13696.763700000001</v>
      </c>
      <c r="F98" s="45">
        <f>F35+F64+F82</f>
        <v>2739.7995000000001</v>
      </c>
      <c r="G98" s="32">
        <f t="shared" si="11"/>
        <v>3470.1206999999995</v>
      </c>
      <c r="H98" s="32">
        <f t="shared" si="11"/>
        <v>3590.3955000000001</v>
      </c>
      <c r="I98" s="32">
        <f t="shared" si="11"/>
        <v>3896.4479999999999</v>
      </c>
    </row>
    <row r="99" spans="1:10" x14ac:dyDescent="0.25">
      <c r="A99" s="3" t="s">
        <v>82</v>
      </c>
      <c r="B99" s="26">
        <v>1300</v>
      </c>
      <c r="C99" s="32"/>
      <c r="D99" s="32"/>
      <c r="E99" s="32"/>
      <c r="F99" s="45"/>
      <c r="G99" s="32"/>
      <c r="H99" s="19"/>
      <c r="I99" s="19"/>
    </row>
    <row r="100" spans="1:10" x14ac:dyDescent="0.25">
      <c r="A100" s="3" t="s">
        <v>83</v>
      </c>
      <c r="B100" s="26">
        <v>1400</v>
      </c>
      <c r="C100" s="32">
        <f t="shared" ref="C100:I100" si="12">SUM(C37:C38,C45:C50,C52:C54,C57:C62,C65:C75,C78,C89)</f>
        <v>3146.2000000000003</v>
      </c>
      <c r="D100" s="32">
        <f t="shared" si="12"/>
        <v>9593.2999999999993</v>
      </c>
      <c r="E100" s="32">
        <f>SUM(E37:E38,E45:E50,E52:E54,E57:E62,E65:E75,E78,E89)</f>
        <v>12829.199999999999</v>
      </c>
      <c r="F100" s="45">
        <f t="shared" si="12"/>
        <v>2245.6</v>
      </c>
      <c r="G100" s="32">
        <f t="shared" si="12"/>
        <v>2240.6</v>
      </c>
      <c r="H100" s="32">
        <f t="shared" si="12"/>
        <v>2426.2999999999997</v>
      </c>
      <c r="I100" s="32">
        <f t="shared" si="12"/>
        <v>5916.7</v>
      </c>
    </row>
    <row r="101" spans="1:10" s="21" customFormat="1" x14ac:dyDescent="0.25">
      <c r="A101" s="6" t="s">
        <v>84</v>
      </c>
      <c r="B101" s="9">
        <v>1500</v>
      </c>
      <c r="C101" s="20">
        <f t="shared" ref="C101:I101" si="13">SUM(C97:C100,C94)</f>
        <v>70495.899999999994</v>
      </c>
      <c r="D101" s="20">
        <f t="shared" si="13"/>
        <v>84979.8</v>
      </c>
      <c r="E101" s="20">
        <f t="shared" si="13"/>
        <v>112970.36369999999</v>
      </c>
      <c r="F101" s="20">
        <f t="shared" si="13"/>
        <v>24463.499499999998</v>
      </c>
      <c r="G101" s="20">
        <f t="shared" si="13"/>
        <v>27090.520699999997</v>
      </c>
      <c r="H101" s="20">
        <f t="shared" si="13"/>
        <v>26852.7955</v>
      </c>
      <c r="I101" s="20">
        <f t="shared" si="13"/>
        <v>34563.548000000003</v>
      </c>
    </row>
    <row r="102" spans="1:10" x14ac:dyDescent="0.25">
      <c r="A102" s="12"/>
      <c r="B102" s="11"/>
      <c r="C102" s="11"/>
      <c r="D102" s="11"/>
      <c r="E102" s="11"/>
      <c r="F102" s="78"/>
      <c r="H102" s="78"/>
      <c r="I102" s="78"/>
    </row>
    <row r="103" spans="1:10" x14ac:dyDescent="0.25">
      <c r="A103" s="81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 x14ac:dyDescent="0.3">
      <c r="A104" s="13" t="s">
        <v>198</v>
      </c>
      <c r="B104" s="14"/>
      <c r="C104" s="14"/>
      <c r="D104" s="14"/>
      <c r="E104" s="35"/>
      <c r="F104" s="35"/>
      <c r="G104" s="146" t="s">
        <v>199</v>
      </c>
      <c r="H104" s="146"/>
      <c r="I104" s="146"/>
    </row>
    <row r="105" spans="1:10" ht="15.6" customHeight="1" x14ac:dyDescent="0.25">
      <c r="A105" s="15" t="s">
        <v>85</v>
      </c>
      <c r="B105" s="36" t="s">
        <v>86</v>
      </c>
      <c r="C105" s="143"/>
      <c r="D105" s="143"/>
      <c r="E105" s="24"/>
      <c r="F105" s="24"/>
      <c r="G105" s="143" t="s">
        <v>87</v>
      </c>
      <c r="H105" s="143"/>
      <c r="I105" s="143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scale="98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workbookViewId="0">
      <selection activeCell="M15" sqref="M15"/>
    </sheetView>
  </sheetViews>
  <sheetFormatPr defaultColWidth="8.85546875" defaultRowHeight="15.75" x14ac:dyDescent="0.25"/>
  <cols>
    <col min="1" max="1" width="47.42578125" style="41" customWidth="1"/>
    <col min="2" max="2" width="8.85546875" style="41"/>
    <col min="3" max="3" width="13.7109375" style="41" customWidth="1"/>
    <col min="4" max="4" width="15.85546875" style="41" customWidth="1"/>
    <col min="5" max="5" width="12.28515625" style="41" customWidth="1"/>
    <col min="6" max="6" width="11.42578125" style="41" customWidth="1"/>
    <col min="7" max="7" width="8.85546875" style="41"/>
    <col min="8" max="16384" width="8.85546875" style="27"/>
  </cols>
  <sheetData>
    <row r="1" spans="1:10" s="41" customFormat="1" x14ac:dyDescent="0.25">
      <c r="D1" s="40"/>
      <c r="F1" s="40"/>
      <c r="H1" s="157" t="s">
        <v>89</v>
      </c>
      <c r="I1" s="157"/>
    </row>
    <row r="2" spans="1:10" s="41" customFormat="1" x14ac:dyDescent="0.25">
      <c r="A2" s="158" t="s">
        <v>90</v>
      </c>
      <c r="B2" s="158"/>
      <c r="C2" s="158"/>
      <c r="D2" s="158"/>
      <c r="E2" s="158"/>
      <c r="F2" s="158"/>
      <c r="G2" s="158"/>
      <c r="H2" s="158"/>
      <c r="I2" s="158"/>
    </row>
    <row r="3" spans="1:10" s="41" customFormat="1" ht="8.4499999999999993" customHeight="1" x14ac:dyDescent="0.25"/>
    <row r="4" spans="1:10" s="41" customFormat="1" ht="15" customHeight="1" x14ac:dyDescent="0.25">
      <c r="A4" s="160" t="s">
        <v>14</v>
      </c>
      <c r="B4" s="160" t="s">
        <v>88</v>
      </c>
      <c r="C4" s="144" t="s">
        <v>178</v>
      </c>
      <c r="D4" s="144" t="s">
        <v>177</v>
      </c>
      <c r="E4" s="144" t="s">
        <v>179</v>
      </c>
      <c r="F4" s="144" t="s">
        <v>171</v>
      </c>
      <c r="G4" s="144"/>
      <c r="H4" s="144"/>
      <c r="I4" s="144"/>
      <c r="J4" s="61"/>
    </row>
    <row r="5" spans="1:10" s="41" customFormat="1" ht="37.15" customHeight="1" x14ac:dyDescent="0.25">
      <c r="A5" s="160"/>
      <c r="B5" s="160"/>
      <c r="C5" s="144"/>
      <c r="D5" s="144"/>
      <c r="E5" s="144"/>
      <c r="F5" s="33" t="s">
        <v>172</v>
      </c>
      <c r="G5" s="33" t="s">
        <v>173</v>
      </c>
      <c r="H5" s="33" t="s">
        <v>174</v>
      </c>
      <c r="I5" s="33" t="s">
        <v>175</v>
      </c>
      <c r="J5" s="48"/>
    </row>
    <row r="6" spans="1:10" s="41" customFormat="1" x14ac:dyDescent="0.25">
      <c r="A6" s="83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83">
        <v>9</v>
      </c>
      <c r="J6" s="48"/>
    </row>
    <row r="7" spans="1:10" s="41" customFormat="1" ht="17.45" customHeight="1" x14ac:dyDescent="0.25">
      <c r="A7" s="44" t="s">
        <v>91</v>
      </c>
      <c r="B7" s="44"/>
      <c r="C7" s="44"/>
      <c r="D7" s="44"/>
      <c r="E7" s="44"/>
      <c r="F7" s="43"/>
      <c r="G7" s="43"/>
      <c r="H7" s="43"/>
      <c r="I7" s="43"/>
      <c r="J7" s="61"/>
    </row>
    <row r="8" spans="1:10" s="91" customFormat="1" ht="37.9" customHeight="1" x14ac:dyDescent="0.25">
      <c r="A8" s="44" t="s">
        <v>92</v>
      </c>
      <c r="B8" s="44">
        <v>2000</v>
      </c>
      <c r="C8" s="133">
        <v>418.6</v>
      </c>
      <c r="D8" s="133">
        <v>2212.1999999999998</v>
      </c>
      <c r="E8" s="134">
        <f>SUM(F8:I8)</f>
        <v>284.36460000002842</v>
      </c>
      <c r="F8" s="135">
        <v>51.6</v>
      </c>
      <c r="G8" s="136">
        <f>F14</f>
        <v>60.10050000000556</v>
      </c>
      <c r="H8" s="136">
        <f>G14</f>
        <v>75.379800000011159</v>
      </c>
      <c r="I8" s="136">
        <f>H14</f>
        <v>97.284300000011712</v>
      </c>
      <c r="J8" s="90"/>
    </row>
    <row r="9" spans="1:10" s="41" customFormat="1" ht="34.15" customHeight="1" x14ac:dyDescent="0.25">
      <c r="A9" s="43" t="s">
        <v>93</v>
      </c>
      <c r="B9" s="43">
        <v>2001</v>
      </c>
      <c r="C9" s="137"/>
      <c r="D9" s="137"/>
      <c r="E9" s="130"/>
      <c r="F9" s="130"/>
      <c r="G9" s="130"/>
      <c r="H9" s="132"/>
      <c r="I9" s="132"/>
      <c r="J9" s="61"/>
    </row>
    <row r="10" spans="1:10" s="41" customFormat="1" ht="18.600000000000001" customHeight="1" x14ac:dyDescent="0.25">
      <c r="A10" s="43" t="s">
        <v>94</v>
      </c>
      <c r="B10" s="43">
        <v>2002</v>
      </c>
      <c r="C10" s="137"/>
      <c r="D10" s="137"/>
      <c r="E10" s="130"/>
      <c r="F10" s="130"/>
      <c r="G10" s="130"/>
      <c r="H10" s="132"/>
      <c r="I10" s="132"/>
      <c r="J10" s="61"/>
    </row>
    <row r="11" spans="1:10" s="41" customFormat="1" ht="32.450000000000003" customHeight="1" x14ac:dyDescent="0.25">
      <c r="A11" s="43" t="s">
        <v>95</v>
      </c>
      <c r="B11" s="43">
        <v>2003</v>
      </c>
      <c r="C11" s="137"/>
      <c r="D11" s="137"/>
      <c r="E11" s="130"/>
      <c r="F11" s="130"/>
      <c r="G11" s="130"/>
      <c r="H11" s="132"/>
      <c r="I11" s="132"/>
      <c r="J11" s="61"/>
    </row>
    <row r="12" spans="1:10" s="41" customFormat="1" ht="20.45" customHeight="1" x14ac:dyDescent="0.25">
      <c r="A12" s="43" t="s">
        <v>96</v>
      </c>
      <c r="B12" s="43">
        <v>2004</v>
      </c>
      <c r="C12" s="137"/>
      <c r="D12" s="137"/>
      <c r="E12" s="130"/>
      <c r="F12" s="130"/>
      <c r="G12" s="130"/>
      <c r="H12" s="132"/>
      <c r="I12" s="132"/>
      <c r="J12" s="61"/>
    </row>
    <row r="13" spans="1:10" s="41" customFormat="1" ht="18" customHeight="1" x14ac:dyDescent="0.25">
      <c r="A13" s="43" t="s">
        <v>194</v>
      </c>
      <c r="B13" s="43">
        <v>2005</v>
      </c>
      <c r="C13" s="137"/>
      <c r="D13" s="137"/>
      <c r="E13" s="130"/>
      <c r="F13" s="130"/>
      <c r="G13" s="130"/>
      <c r="H13" s="132"/>
      <c r="I13" s="132"/>
      <c r="J13" s="61"/>
    </row>
    <row r="14" spans="1:10" s="41" customFormat="1" ht="34.15" customHeight="1" x14ac:dyDescent="0.25">
      <c r="A14" s="43" t="s">
        <v>97</v>
      </c>
      <c r="B14" s="43">
        <v>2006</v>
      </c>
      <c r="C14" s="137">
        <f>2761.3</f>
        <v>2761.3</v>
      </c>
      <c r="D14" s="137">
        <v>2344.8000000000002</v>
      </c>
      <c r="E14" s="138">
        <f>SUM(F14:I14)</f>
        <v>341.60090000003618</v>
      </c>
      <c r="F14" s="130">
        <f>F8+'Таблиця 1'!F92</f>
        <v>60.10050000000556</v>
      </c>
      <c r="G14" s="130">
        <f>G8+'Таблиця 1'!G92</f>
        <v>75.379800000011159</v>
      </c>
      <c r="H14" s="130">
        <f>H8+'Таблиця 1'!H92</f>
        <v>97.284300000011712</v>
      </c>
      <c r="I14" s="130">
        <f>I8+'Таблиця 1'!I92</f>
        <v>108.83630000000775</v>
      </c>
      <c r="J14" s="124"/>
    </row>
    <row r="15" spans="1:10" ht="47.45" customHeight="1" x14ac:dyDescent="0.25">
      <c r="A15" s="44" t="s">
        <v>98</v>
      </c>
      <c r="B15" s="44">
        <v>2100</v>
      </c>
      <c r="C15" s="133">
        <f>SUM(C16:C20)</f>
        <v>8062.7</v>
      </c>
      <c r="D15" s="133">
        <f>SUM(D16:D20)</f>
        <v>8512.4379999999983</v>
      </c>
      <c r="E15" s="133">
        <f>SUM(F15:I15)</f>
        <v>11259.313999999998</v>
      </c>
      <c r="F15" s="139">
        <f>SUM(F16:F20)</f>
        <v>2253.5899999999997</v>
      </c>
      <c r="G15" s="139">
        <f>SUM(G16:G20)</f>
        <v>2852.1539999999995</v>
      </c>
      <c r="H15" s="139">
        <f>SUM(H16:H20)</f>
        <v>2951.0099999999998</v>
      </c>
      <c r="I15" s="139">
        <f>SUM(I16:I20)</f>
        <v>3202.56</v>
      </c>
      <c r="J15" s="29"/>
    </row>
    <row r="16" spans="1:10" ht="18.600000000000001" customHeight="1" x14ac:dyDescent="0.25">
      <c r="A16" s="43" t="s">
        <v>99</v>
      </c>
      <c r="B16" s="43">
        <v>2101</v>
      </c>
      <c r="C16" s="137">
        <f>2050+2555.8+1373+2082.6</f>
        <v>8061.4</v>
      </c>
      <c r="D16" s="137">
        <f>'Таблиця 1'!D97*18%</f>
        <v>8511.137999999999</v>
      </c>
      <c r="E16" s="137">
        <f>SUM(F16:I16)</f>
        <v>11257.614</v>
      </c>
      <c r="F16" s="137">
        <f>'Таблиця 1'!F97*18%</f>
        <v>2251.89</v>
      </c>
      <c r="G16" s="137">
        <f>'Таблиця 1'!G97*18%</f>
        <v>2852.1539999999995</v>
      </c>
      <c r="H16" s="137">
        <f>'Таблиця 1'!H97*18%</f>
        <v>2951.0099999999998</v>
      </c>
      <c r="I16" s="137">
        <f>'Таблиця 1'!I97*18%</f>
        <v>3202.56</v>
      </c>
      <c r="J16" s="29"/>
    </row>
    <row r="17" spans="1:10" ht="17.45" customHeight="1" x14ac:dyDescent="0.25">
      <c r="A17" s="43" t="s">
        <v>100</v>
      </c>
      <c r="B17" s="43">
        <v>2102</v>
      </c>
      <c r="C17" s="137">
        <f>1.3</f>
        <v>1.3</v>
      </c>
      <c r="D17" s="137">
        <f>'Таблиця 1'!D48</f>
        <v>1.3</v>
      </c>
      <c r="E17" s="137">
        <f>'Таблиця 1'!E48</f>
        <v>1.7</v>
      </c>
      <c r="F17" s="137">
        <f>'Таблиця 1'!F48</f>
        <v>1.7</v>
      </c>
      <c r="G17" s="137">
        <f>'Таблиця 1'!G48</f>
        <v>0</v>
      </c>
      <c r="H17" s="137">
        <f>'Таблиця 1'!H48</f>
        <v>0</v>
      </c>
      <c r="I17" s="137">
        <f>'Таблиця 1'!I48</f>
        <v>0</v>
      </c>
      <c r="J17" s="29"/>
    </row>
    <row r="18" spans="1:10" ht="15" customHeight="1" x14ac:dyDescent="0.25">
      <c r="A18" s="43" t="s">
        <v>101</v>
      </c>
      <c r="B18" s="43">
        <v>2103</v>
      </c>
      <c r="C18" s="137"/>
      <c r="D18" s="137"/>
      <c r="E18" s="137"/>
      <c r="F18" s="137"/>
      <c r="G18" s="137"/>
      <c r="H18" s="140"/>
      <c r="I18" s="140"/>
      <c r="J18" s="29"/>
    </row>
    <row r="19" spans="1:10" ht="15" customHeight="1" x14ac:dyDescent="0.25">
      <c r="A19" s="43" t="s">
        <v>102</v>
      </c>
      <c r="B19" s="43">
        <v>2104</v>
      </c>
      <c r="C19" s="137"/>
      <c r="D19" s="137"/>
      <c r="E19" s="137"/>
      <c r="F19" s="137"/>
      <c r="G19" s="137"/>
      <c r="H19" s="140"/>
      <c r="I19" s="140"/>
      <c r="J19" s="29"/>
    </row>
    <row r="20" spans="1:10" ht="20.45" customHeight="1" x14ac:dyDescent="0.25">
      <c r="A20" s="43" t="s">
        <v>103</v>
      </c>
      <c r="B20" s="43">
        <v>2105</v>
      </c>
      <c r="C20" s="137"/>
      <c r="D20" s="137"/>
      <c r="E20" s="137"/>
      <c r="F20" s="137"/>
      <c r="G20" s="137"/>
      <c r="H20" s="140"/>
      <c r="I20" s="140"/>
      <c r="J20" s="29"/>
    </row>
    <row r="21" spans="1:10" ht="35.450000000000003" customHeight="1" x14ac:dyDescent="0.25">
      <c r="A21" s="44" t="s">
        <v>104</v>
      </c>
      <c r="B21" s="44">
        <v>2200</v>
      </c>
      <c r="C21" s="133">
        <f t="shared" ref="C21:I21" si="0">SUM(C22:C25)</f>
        <v>10007.1</v>
      </c>
      <c r="D21" s="133">
        <f t="shared" si="0"/>
        <v>11045.1615</v>
      </c>
      <c r="E21" s="139">
        <f t="shared" si="0"/>
        <v>16823.878700000001</v>
      </c>
      <c r="F21" s="139">
        <f t="shared" si="0"/>
        <v>3365.3245000000002</v>
      </c>
      <c r="G21" s="139">
        <f t="shared" si="0"/>
        <v>4262.3856999999998</v>
      </c>
      <c r="H21" s="139">
        <f t="shared" si="0"/>
        <v>4410.1205</v>
      </c>
      <c r="I21" s="139">
        <f t="shared" si="0"/>
        <v>4786.0479999999998</v>
      </c>
      <c r="J21" s="29"/>
    </row>
    <row r="22" spans="1:10" ht="20.45" customHeight="1" x14ac:dyDescent="0.25">
      <c r="A22" s="43" t="s">
        <v>105</v>
      </c>
      <c r="B22" s="43">
        <v>2201</v>
      </c>
      <c r="C22" s="137"/>
      <c r="D22" s="137"/>
      <c r="E22" s="137"/>
      <c r="F22" s="137"/>
      <c r="G22" s="137"/>
      <c r="H22" s="140"/>
      <c r="I22" s="140"/>
      <c r="J22" s="29"/>
    </row>
    <row r="23" spans="1:10" ht="34.9" customHeight="1" x14ac:dyDescent="0.25">
      <c r="A23" s="43" t="s">
        <v>106</v>
      </c>
      <c r="B23" s="43">
        <v>2202</v>
      </c>
      <c r="C23" s="137">
        <f>2283.3+1535.9+2851.2+2321.1</f>
        <v>8991.5</v>
      </c>
      <c r="D23" s="137">
        <f>'Таблиця 1'!D98</f>
        <v>10335.9</v>
      </c>
      <c r="E23" s="137">
        <f>SUM(F23:I23)</f>
        <v>13696.7637</v>
      </c>
      <c r="F23" s="137">
        <f>'Таблиця 1'!F98</f>
        <v>2739.7995000000001</v>
      </c>
      <c r="G23" s="137">
        <f>'Таблиця 1'!G98</f>
        <v>3470.1206999999995</v>
      </c>
      <c r="H23" s="137">
        <f>'Таблиця 1'!H98</f>
        <v>3590.3955000000001</v>
      </c>
      <c r="I23" s="137">
        <f>'Таблиця 1'!I98</f>
        <v>3896.4479999999999</v>
      </c>
      <c r="J23" s="29"/>
    </row>
    <row r="24" spans="1:10" ht="25.9" customHeight="1" x14ac:dyDescent="0.25">
      <c r="A24" s="43" t="s">
        <v>107</v>
      </c>
      <c r="B24" s="43">
        <v>2203</v>
      </c>
      <c r="C24" s="137"/>
      <c r="D24" s="137"/>
      <c r="E24" s="137"/>
      <c r="F24" s="137"/>
      <c r="G24" s="137"/>
      <c r="H24" s="141"/>
      <c r="I24" s="140"/>
      <c r="J24" s="29"/>
    </row>
    <row r="25" spans="1:10" ht="24" customHeight="1" x14ac:dyDescent="0.25">
      <c r="A25" s="43" t="s">
        <v>197</v>
      </c>
      <c r="B25" s="43">
        <v>2204</v>
      </c>
      <c r="C25" s="137">
        <f>173.5+709.9+114.4+17.8</f>
        <v>1015.5999999999999</v>
      </c>
      <c r="D25" s="137">
        <f>'Таблиця 1'!D97*1.5%</f>
        <v>709.26149999999996</v>
      </c>
      <c r="E25" s="137">
        <f>SUM(F25:I25)</f>
        <v>3127.1149999999998</v>
      </c>
      <c r="F25" s="137">
        <f>'Таблиця 1'!F97*5%</f>
        <v>625.52500000000009</v>
      </c>
      <c r="G25" s="137">
        <f>'Таблиця 1'!G97*5%</f>
        <v>792.26499999999999</v>
      </c>
      <c r="H25" s="137">
        <f>'Таблиця 1'!H97*5%</f>
        <v>819.72500000000002</v>
      </c>
      <c r="I25" s="137">
        <f>'Таблиця 1'!I97*5%</f>
        <v>889.6</v>
      </c>
      <c r="J25" s="29"/>
    </row>
    <row r="26" spans="1:10" s="91" customFormat="1" ht="31.9" customHeight="1" x14ac:dyDescent="0.25">
      <c r="A26" s="44" t="s">
        <v>108</v>
      </c>
      <c r="B26" s="44">
        <v>2300</v>
      </c>
      <c r="C26" s="139">
        <f t="shared" ref="C26:H26" si="1">SUM(C27:C28)</f>
        <v>0</v>
      </c>
      <c r="D26" s="139">
        <f t="shared" si="1"/>
        <v>0</v>
      </c>
      <c r="E26" s="139">
        <f>SUM(F26:I26)</f>
        <v>0</v>
      </c>
      <c r="F26" s="139">
        <f t="shared" si="1"/>
        <v>0</v>
      </c>
      <c r="G26" s="139">
        <f t="shared" si="1"/>
        <v>0</v>
      </c>
      <c r="H26" s="139">
        <f t="shared" si="1"/>
        <v>0</v>
      </c>
      <c r="I26" s="139">
        <f>SUM(I27:I28)</f>
        <v>0</v>
      </c>
      <c r="J26" s="90"/>
    </row>
    <row r="27" spans="1:10" s="41" customFormat="1" ht="52.9" customHeight="1" x14ac:dyDescent="0.25">
      <c r="A27" s="43" t="s">
        <v>109</v>
      </c>
      <c r="B27" s="43">
        <v>2301</v>
      </c>
      <c r="C27" s="137"/>
      <c r="D27" s="137"/>
      <c r="E27" s="137"/>
      <c r="F27" s="137"/>
      <c r="G27" s="137"/>
      <c r="H27" s="141"/>
      <c r="I27" s="141"/>
      <c r="J27" s="61"/>
    </row>
    <row r="28" spans="1:10" s="41" customFormat="1" ht="24.6" customHeight="1" x14ac:dyDescent="0.25">
      <c r="A28" s="43" t="s">
        <v>110</v>
      </c>
      <c r="B28" s="43">
        <v>2302</v>
      </c>
      <c r="C28" s="137"/>
      <c r="D28" s="137"/>
      <c r="E28" s="137"/>
      <c r="F28" s="137"/>
      <c r="G28" s="137"/>
      <c r="H28" s="141"/>
      <c r="I28" s="141"/>
      <c r="J28" s="61"/>
    </row>
    <row r="29" spans="1:10" s="41" customFormat="1" ht="12.6" customHeight="1" x14ac:dyDescent="0.25">
      <c r="A29" s="48"/>
      <c r="B29" s="48"/>
      <c r="C29" s="48"/>
      <c r="D29" s="48"/>
      <c r="E29" s="46"/>
      <c r="F29" s="46"/>
      <c r="G29" s="61"/>
    </row>
    <row r="30" spans="1:10" s="41" customFormat="1" ht="16.149999999999999" customHeight="1" thickBot="1" x14ac:dyDescent="0.3">
      <c r="A30" s="13" t="s">
        <v>198</v>
      </c>
      <c r="B30" s="49"/>
      <c r="C30" s="49"/>
      <c r="D30" s="49"/>
      <c r="E30" s="146" t="s">
        <v>199</v>
      </c>
      <c r="F30" s="146"/>
      <c r="G30" s="146"/>
      <c r="H30" s="146"/>
      <c r="I30" s="146"/>
    </row>
    <row r="31" spans="1:10" s="41" customFormat="1" ht="14.45" customHeight="1" x14ac:dyDescent="0.25">
      <c r="A31" s="50" t="s">
        <v>85</v>
      </c>
      <c r="B31" s="51" t="s">
        <v>86</v>
      </c>
      <c r="C31" s="51"/>
      <c r="D31" s="51"/>
      <c r="E31" s="159"/>
      <c r="F31" s="159"/>
      <c r="G31" s="159" t="s">
        <v>87</v>
      </c>
      <c r="H31" s="159"/>
      <c r="I31" s="159"/>
    </row>
  </sheetData>
  <mergeCells count="11">
    <mergeCell ref="H1:I1"/>
    <mergeCell ref="A2:I2"/>
    <mergeCell ref="G31:I31"/>
    <mergeCell ref="E31:F31"/>
    <mergeCell ref="B4:B5"/>
    <mergeCell ref="A4:A5"/>
    <mergeCell ref="F4:I4"/>
    <mergeCell ref="C4:C5"/>
    <mergeCell ref="D4:D5"/>
    <mergeCell ref="E4:E5"/>
    <mergeCell ref="E30:I30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view="pageBreakPreview" topLeftCell="A16" zoomScaleNormal="100" zoomScaleSheetLayoutView="100" workbookViewId="0">
      <selection activeCell="F13" sqref="F13"/>
    </sheetView>
  </sheetViews>
  <sheetFormatPr defaultColWidth="8.85546875" defaultRowHeight="15.75" x14ac:dyDescent="0.25"/>
  <cols>
    <col min="1" max="1" width="47.28515625" style="41" customWidth="1"/>
    <col min="2" max="2" width="9.140625" style="41" bestFit="1" customWidth="1"/>
    <col min="3" max="3" width="11.7109375" style="41" customWidth="1"/>
    <col min="4" max="4" width="12.7109375" style="41" customWidth="1"/>
    <col min="5" max="5" width="13.7109375" style="41" customWidth="1"/>
    <col min="6" max="6" width="12" style="27" customWidth="1"/>
    <col min="7" max="7" width="9.28515625" style="41" bestFit="1" customWidth="1"/>
    <col min="8" max="8" width="9.85546875" style="41" bestFit="1" customWidth="1"/>
    <col min="9" max="9" width="11.7109375" style="27" bestFit="1" customWidth="1"/>
    <col min="10" max="16384" width="8.85546875" style="27"/>
  </cols>
  <sheetData>
    <row r="1" spans="1:9" x14ac:dyDescent="0.25">
      <c r="A1" s="40"/>
      <c r="F1" s="28"/>
      <c r="H1" s="157" t="s">
        <v>180</v>
      </c>
      <c r="I1" s="157"/>
    </row>
    <row r="2" spans="1:9" x14ac:dyDescent="0.25">
      <c r="A2" s="158" t="s">
        <v>111</v>
      </c>
      <c r="B2" s="158"/>
      <c r="C2" s="158"/>
      <c r="D2" s="158"/>
      <c r="E2" s="158"/>
      <c r="F2" s="158"/>
      <c r="G2" s="158"/>
      <c r="H2" s="158"/>
      <c r="I2" s="158"/>
    </row>
    <row r="4" spans="1:9" ht="15" customHeight="1" x14ac:dyDescent="0.25">
      <c r="A4" s="160" t="s">
        <v>14</v>
      </c>
      <c r="B4" s="160" t="s">
        <v>88</v>
      </c>
      <c r="C4" s="144" t="s">
        <v>178</v>
      </c>
      <c r="D4" s="144" t="s">
        <v>177</v>
      </c>
      <c r="E4" s="144" t="s">
        <v>179</v>
      </c>
      <c r="F4" s="144" t="s">
        <v>171</v>
      </c>
      <c r="G4" s="144"/>
      <c r="H4" s="144"/>
      <c r="I4" s="144"/>
    </row>
    <row r="5" spans="1:9" ht="48" customHeight="1" x14ac:dyDescent="0.25">
      <c r="A5" s="160"/>
      <c r="B5" s="160"/>
      <c r="C5" s="144"/>
      <c r="D5" s="144"/>
      <c r="E5" s="144"/>
      <c r="F5" s="54" t="s">
        <v>172</v>
      </c>
      <c r="G5" s="54" t="s">
        <v>173</v>
      </c>
      <c r="H5" s="54" t="s">
        <v>174</v>
      </c>
      <c r="I5" s="54" t="s">
        <v>175</v>
      </c>
    </row>
    <row r="6" spans="1:9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7">
        <v>7</v>
      </c>
      <c r="H6" s="47">
        <v>8</v>
      </c>
      <c r="I6" s="42">
        <v>9</v>
      </c>
    </row>
    <row r="7" spans="1:9" ht="15" customHeight="1" x14ac:dyDescent="0.25">
      <c r="A7" s="163" t="s">
        <v>112</v>
      </c>
      <c r="B7" s="163"/>
      <c r="C7" s="163"/>
      <c r="D7" s="163"/>
      <c r="E7" s="163"/>
      <c r="F7" s="163"/>
      <c r="G7" s="163"/>
      <c r="H7" s="163"/>
      <c r="I7" s="163"/>
    </row>
    <row r="8" spans="1:9" ht="34.15" customHeight="1" x14ac:dyDescent="0.25">
      <c r="A8" s="52" t="s">
        <v>113</v>
      </c>
      <c r="B8" s="53">
        <v>3000</v>
      </c>
      <c r="C8" s="125">
        <f>SUM(C9:C20)</f>
        <v>71307.099999999991</v>
      </c>
      <c r="D8" s="125">
        <f>SUM(D9:D13)</f>
        <v>85112.400000000009</v>
      </c>
      <c r="E8" s="126">
        <f>SUM(F8:I8)</f>
        <v>113027.6</v>
      </c>
      <c r="F8" s="126">
        <f>SUM(F9:F13)</f>
        <v>24472.000000000004</v>
      </c>
      <c r="G8" s="126">
        <f>SUM(G9:G13)</f>
        <v>27105.800000000003</v>
      </c>
      <c r="H8" s="126">
        <f>SUM(H9:H13)</f>
        <v>26874.7</v>
      </c>
      <c r="I8" s="126">
        <f>SUM(I9:I13)</f>
        <v>34575.1</v>
      </c>
    </row>
    <row r="9" spans="1:9" ht="42" customHeight="1" x14ac:dyDescent="0.25">
      <c r="A9" s="55" t="s">
        <v>114</v>
      </c>
      <c r="B9" s="54">
        <v>3001</v>
      </c>
      <c r="C9" s="125">
        <f>421.4+438.9+171.1+243.4</f>
        <v>1274.8</v>
      </c>
      <c r="D9" s="125">
        <v>2000</v>
      </c>
      <c r="E9" s="125">
        <f>SUM(F9:I9)</f>
        <v>2490.6</v>
      </c>
      <c r="F9" s="125">
        <v>230</v>
      </c>
      <c r="G9" s="125">
        <v>395</v>
      </c>
      <c r="H9" s="125">
        <v>1000</v>
      </c>
      <c r="I9" s="125">
        <v>865.6</v>
      </c>
    </row>
    <row r="10" spans="1:9" ht="23.45" customHeight="1" x14ac:dyDescent="0.25">
      <c r="A10" s="56" t="s">
        <v>17</v>
      </c>
      <c r="B10" s="54">
        <v>3002</v>
      </c>
      <c r="C10" s="125">
        <f>2452.5+6145.6+5048.7+1114.3</f>
        <v>14761.099999999999</v>
      </c>
      <c r="D10" s="125">
        <v>19048.2</v>
      </c>
      <c r="E10" s="125">
        <f>SUM(F10:I10)</f>
        <v>21635.5</v>
      </c>
      <c r="F10" s="125">
        <f>'Таблиця 1'!F26</f>
        <v>6839.1</v>
      </c>
      <c r="G10" s="125">
        <f>'Таблиця 1'!G26</f>
        <v>3641.4</v>
      </c>
      <c r="H10" s="125">
        <f>'Таблиця 1'!H26</f>
        <v>2130.1999999999998</v>
      </c>
      <c r="I10" s="125">
        <f>'Таблиця 1'!I26</f>
        <v>9024.7999999999993</v>
      </c>
    </row>
    <row r="11" spans="1:9" ht="26.45" customHeight="1" x14ac:dyDescent="0.25">
      <c r="A11" s="56" t="s">
        <v>18</v>
      </c>
      <c r="B11" s="54">
        <v>3003</v>
      </c>
      <c r="C11" s="125"/>
      <c r="D11" s="125"/>
      <c r="E11" s="125"/>
      <c r="F11" s="125"/>
      <c r="G11" s="125"/>
      <c r="H11" s="125"/>
      <c r="I11" s="127"/>
    </row>
    <row r="12" spans="1:9" x14ac:dyDescent="0.25">
      <c r="A12" s="56" t="s">
        <v>19</v>
      </c>
      <c r="B12" s="54">
        <v>3004</v>
      </c>
      <c r="C12" s="125">
        <f>13557.5+14268.9+11758.9+14383</f>
        <v>53968.3</v>
      </c>
      <c r="D12" s="125">
        <f>'Таблиця 1'!D28</f>
        <v>62539.4</v>
      </c>
      <c r="E12" s="125">
        <f>SUM(F12:I12)</f>
        <v>83839.400000000009</v>
      </c>
      <c r="F12" s="125">
        <f>'Таблиця 1'!F28</f>
        <v>16150.7</v>
      </c>
      <c r="G12" s="125">
        <f>'Таблиця 1'!G28</f>
        <v>21799.4</v>
      </c>
      <c r="H12" s="125">
        <f>'Таблиця 1'!H28</f>
        <v>22458.3</v>
      </c>
      <c r="I12" s="125">
        <f>'Таблиця 1'!I28</f>
        <v>23431</v>
      </c>
    </row>
    <row r="13" spans="1:9" x14ac:dyDescent="0.25">
      <c r="A13" s="56" t="s">
        <v>20</v>
      </c>
      <c r="B13" s="54">
        <v>3005</v>
      </c>
      <c r="C13" s="125">
        <f>330.4+304.7+344.9+278.4</f>
        <v>1258.3999999999999</v>
      </c>
      <c r="D13" s="125">
        <f>'Таблиця 1'!D29-'Таблиця 3'!D9</f>
        <v>1524.8000000000002</v>
      </c>
      <c r="E13" s="125">
        <f>SUM(F13:I13)</f>
        <v>5062.1000000000004</v>
      </c>
      <c r="F13" s="125">
        <f>'Таблиця 1'!F29-'Таблиця 3'!F9</f>
        <v>1252.2</v>
      </c>
      <c r="G13" s="125">
        <f>'Таблиця 1'!G29-'Таблиця 3'!G9</f>
        <v>1270</v>
      </c>
      <c r="H13" s="125">
        <f>'Таблиця 1'!H29-'Таблиця 3'!H9</f>
        <v>1286.1999999999998</v>
      </c>
      <c r="I13" s="125">
        <f>'Таблиця 1'!I29-'Таблиця 3'!I9</f>
        <v>1253.7000000000003</v>
      </c>
    </row>
    <row r="14" spans="1:9" ht="24" customHeight="1" x14ac:dyDescent="0.25">
      <c r="A14" s="55" t="s">
        <v>115</v>
      </c>
      <c r="B14" s="54">
        <v>3100</v>
      </c>
      <c r="C14" s="125"/>
      <c r="D14" s="125"/>
      <c r="E14" s="125"/>
      <c r="F14" s="127"/>
      <c r="G14" s="125"/>
      <c r="H14" s="125"/>
      <c r="I14" s="127"/>
    </row>
    <row r="15" spans="1:9" ht="20.45" customHeight="1" x14ac:dyDescent="0.25">
      <c r="A15" s="55" t="s">
        <v>116</v>
      </c>
      <c r="B15" s="54">
        <v>3101</v>
      </c>
      <c r="C15" s="125"/>
      <c r="D15" s="125"/>
      <c r="E15" s="125"/>
      <c r="F15" s="127"/>
      <c r="G15" s="125"/>
      <c r="H15" s="125"/>
      <c r="I15" s="127"/>
    </row>
    <row r="16" spans="1:9" ht="18.600000000000001" customHeight="1" x14ac:dyDescent="0.25">
      <c r="A16" s="55" t="s">
        <v>117</v>
      </c>
      <c r="B16" s="54">
        <v>3200</v>
      </c>
      <c r="C16" s="125"/>
      <c r="D16" s="125"/>
      <c r="E16" s="125"/>
      <c r="F16" s="127"/>
      <c r="G16" s="125"/>
      <c r="H16" s="125"/>
      <c r="I16" s="127"/>
    </row>
    <row r="17" spans="1:9" ht="22.9" customHeight="1" x14ac:dyDescent="0.25">
      <c r="A17" s="55" t="s">
        <v>118</v>
      </c>
      <c r="B17" s="54">
        <v>3300</v>
      </c>
      <c r="C17" s="125"/>
      <c r="D17" s="125"/>
      <c r="E17" s="125"/>
      <c r="F17" s="127"/>
      <c r="G17" s="125"/>
      <c r="H17" s="125"/>
      <c r="I17" s="127"/>
    </row>
    <row r="18" spans="1:9" ht="29.45" customHeight="1" x14ac:dyDescent="0.25">
      <c r="A18" s="55" t="s">
        <v>119</v>
      </c>
      <c r="B18" s="54">
        <v>3400</v>
      </c>
      <c r="C18" s="125"/>
      <c r="D18" s="125"/>
      <c r="E18" s="125"/>
      <c r="F18" s="127"/>
      <c r="G18" s="125"/>
      <c r="H18" s="125"/>
      <c r="I18" s="127"/>
    </row>
    <row r="19" spans="1:9" ht="24" customHeight="1" x14ac:dyDescent="0.25">
      <c r="A19" s="55" t="s">
        <v>120</v>
      </c>
      <c r="B19" s="54">
        <v>3500</v>
      </c>
      <c r="C19" s="128"/>
      <c r="D19" s="125"/>
      <c r="E19" s="125"/>
      <c r="F19" s="127"/>
      <c r="G19" s="125"/>
      <c r="H19" s="125"/>
      <c r="I19" s="127"/>
    </row>
    <row r="20" spans="1:9" ht="30.6" customHeight="1" x14ac:dyDescent="0.25">
      <c r="A20" s="55" t="s">
        <v>121</v>
      </c>
      <c r="B20" s="54">
        <v>3600</v>
      </c>
      <c r="C20" s="128">
        <f>9.1+14.1+12.9+8.4</f>
        <v>44.5</v>
      </c>
      <c r="D20" s="125">
        <v>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</row>
    <row r="21" spans="1:9" ht="30.6" customHeight="1" x14ac:dyDescent="0.25">
      <c r="A21" s="52" t="s">
        <v>122</v>
      </c>
      <c r="B21" s="54">
        <v>3700</v>
      </c>
      <c r="C21" s="129">
        <f>'Таблиця 1'!C91</f>
        <v>70495.899999999994</v>
      </c>
      <c r="D21" s="126">
        <f>'Таблиця 1'!D91</f>
        <v>84979.8</v>
      </c>
      <c r="E21" s="126">
        <f>SUM(F21:I21)</f>
        <v>112970.36370000002</v>
      </c>
      <c r="F21" s="126">
        <f>'Таблиця 1'!F91</f>
        <v>24463.499499999998</v>
      </c>
      <c r="G21" s="126">
        <f>'Таблиця 1'!G91</f>
        <v>27090.520699999997</v>
      </c>
      <c r="H21" s="126">
        <f>'Таблиця 1'!H91</f>
        <v>26852.7955</v>
      </c>
      <c r="I21" s="126">
        <f>'Таблиця 1'!I91</f>
        <v>34563.548000000003</v>
      </c>
    </row>
    <row r="22" spans="1:9" ht="36" customHeight="1" x14ac:dyDescent="0.25">
      <c r="A22" s="55" t="s">
        <v>123</v>
      </c>
      <c r="B22" s="54">
        <v>3701</v>
      </c>
      <c r="C22" s="128">
        <f>3867.3+3911.1+5759.3+2268.1</f>
        <v>15805.800000000001</v>
      </c>
      <c r="D22" s="125">
        <v>27059.8</v>
      </c>
      <c r="E22" s="125">
        <f>'Таблиця 1'!E91-'Таблиця 1'!E97-'Таблиця 1'!E98-'Таблиця 1'!E46</f>
        <v>36371.299999999981</v>
      </c>
      <c r="F22" s="125">
        <f>'Таблиця 1'!F91-'Таблиця 1'!F97-'Таблиця 1'!F98-'Таблиця 1'!F46</f>
        <v>9120.1999999999971</v>
      </c>
      <c r="G22" s="125">
        <f>'Таблиця 1'!G91-'Таблиця 1'!G97-'Таблиця 1'!G98-'Таблиця 1'!G46</f>
        <v>7684.0999999999985</v>
      </c>
      <c r="H22" s="125">
        <f>'Таблиця 1'!H91-'Таблиця 1'!H97-'Таблиця 1'!H98-'Таблиця 1'!H46</f>
        <v>6769.9</v>
      </c>
      <c r="I22" s="125">
        <f>'Таблиця 1'!I91-'Таблиця 1'!I97-'Таблиця 1'!I98-'Таблиця 1'!I46</f>
        <v>12797.100000000002</v>
      </c>
    </row>
    <row r="23" spans="1:9" ht="24" customHeight="1" x14ac:dyDescent="0.25">
      <c r="A23" s="55" t="s">
        <v>124</v>
      </c>
      <c r="B23" s="54">
        <v>3702</v>
      </c>
      <c r="C23" s="128">
        <f>11569.9+14198.7+7627.5+11389.1</f>
        <v>44785.2</v>
      </c>
      <c r="D23" s="125">
        <f>'Таблиця 1'!D97</f>
        <v>47284.1</v>
      </c>
      <c r="E23" s="125">
        <f>'Таблиця 1'!E97</f>
        <v>62542.3</v>
      </c>
      <c r="F23" s="125">
        <f>'Таблиця 1'!F97</f>
        <v>12510.5</v>
      </c>
      <c r="G23" s="125">
        <f>'Таблиця 1'!G97</f>
        <v>15845.3</v>
      </c>
      <c r="H23" s="125">
        <f>'Таблиця 1'!H97</f>
        <v>16394.5</v>
      </c>
      <c r="I23" s="125">
        <f>'Таблиця 1'!I97</f>
        <v>17792</v>
      </c>
    </row>
    <row r="24" spans="1:9" ht="38.450000000000003" customHeight="1" x14ac:dyDescent="0.25">
      <c r="A24" s="55" t="s">
        <v>125</v>
      </c>
      <c r="B24" s="54">
        <v>3703</v>
      </c>
      <c r="C24" s="128"/>
      <c r="D24" s="125"/>
      <c r="E24" s="125"/>
      <c r="F24" s="127"/>
      <c r="G24" s="125"/>
      <c r="H24" s="125"/>
      <c r="I24" s="127"/>
    </row>
    <row r="25" spans="1:9" ht="48" customHeight="1" x14ac:dyDescent="0.25">
      <c r="A25" s="55" t="s">
        <v>126</v>
      </c>
      <c r="B25" s="54">
        <v>3800</v>
      </c>
      <c r="C25" s="128">
        <f>'Таблиця 2'!C15+'Таблиця 2'!C21</f>
        <v>18069.8</v>
      </c>
      <c r="D25" s="128">
        <v>19557.599999999999</v>
      </c>
      <c r="E25" s="128">
        <f>SUM(F25:I25)</f>
        <v>28083.1927</v>
      </c>
      <c r="F25" s="128">
        <f>'Таблиця 2'!F15+'Таблиця 2'!F21</f>
        <v>5618.9144999999999</v>
      </c>
      <c r="G25" s="128">
        <f>'Таблиця 2'!G15+'Таблиця 2'!G21</f>
        <v>7114.5396999999994</v>
      </c>
      <c r="H25" s="128">
        <f>'Таблиця 2'!H15+'Таблиця 2'!H21</f>
        <v>7361.1304999999993</v>
      </c>
      <c r="I25" s="128">
        <f>'Таблиця 2'!I15+'Таблиця 2'!I21</f>
        <v>7988.6080000000002</v>
      </c>
    </row>
    <row r="26" spans="1:9" ht="24" customHeight="1" x14ac:dyDescent="0.25">
      <c r="A26" s="55" t="s">
        <v>187</v>
      </c>
      <c r="B26" s="54">
        <v>3801</v>
      </c>
      <c r="C26" s="125">
        <f>'Таблиця 2'!C16</f>
        <v>8061.4</v>
      </c>
      <c r="D26" s="125">
        <v>8511.1</v>
      </c>
      <c r="E26" s="125">
        <f>SUM(F26:I26)</f>
        <v>11257.614</v>
      </c>
      <c r="F26" s="125">
        <f>'Таблиця 2'!F16</f>
        <v>2251.89</v>
      </c>
      <c r="G26" s="125">
        <f>'Таблиця 2'!G16</f>
        <v>2852.1539999999995</v>
      </c>
      <c r="H26" s="125">
        <f>'Таблиця 2'!H16</f>
        <v>2951.0099999999998</v>
      </c>
      <c r="I26" s="125">
        <f>'Таблиця 2'!I16</f>
        <v>3202.56</v>
      </c>
    </row>
    <row r="27" spans="1:9" ht="23.45" customHeight="1" x14ac:dyDescent="0.25">
      <c r="A27" s="55" t="s">
        <v>127</v>
      </c>
      <c r="B27" s="54">
        <v>3900</v>
      </c>
      <c r="C27" s="125"/>
      <c r="D27" s="125"/>
      <c r="E27" s="125"/>
      <c r="F27" s="127"/>
      <c r="G27" s="125"/>
      <c r="H27" s="125"/>
      <c r="I27" s="127"/>
    </row>
    <row r="28" spans="1:9" ht="21" customHeight="1" x14ac:dyDescent="0.25">
      <c r="A28" s="55" t="s">
        <v>128</v>
      </c>
      <c r="B28" s="54">
        <v>4000</v>
      </c>
      <c r="C28" s="125"/>
      <c r="D28" s="125"/>
      <c r="E28" s="125"/>
      <c r="F28" s="127"/>
      <c r="G28" s="125"/>
      <c r="H28" s="125"/>
      <c r="I28" s="127"/>
    </row>
    <row r="29" spans="1:9" ht="22.9" customHeight="1" x14ac:dyDescent="0.25">
      <c r="A29" s="55" t="s">
        <v>29</v>
      </c>
      <c r="B29" s="54">
        <v>5000</v>
      </c>
      <c r="C29" s="125"/>
      <c r="D29" s="125"/>
      <c r="E29" s="125"/>
      <c r="F29" s="127"/>
      <c r="G29" s="125"/>
      <c r="H29" s="125"/>
      <c r="I29" s="127"/>
    </row>
    <row r="30" spans="1:9" ht="33" customHeight="1" x14ac:dyDescent="0.25">
      <c r="A30" s="52" t="s">
        <v>129</v>
      </c>
      <c r="B30" s="54">
        <v>6000</v>
      </c>
      <c r="C30" s="125"/>
      <c r="D30" s="125"/>
      <c r="E30" s="125"/>
      <c r="F30" s="127"/>
      <c r="G30" s="125"/>
      <c r="H30" s="125"/>
      <c r="I30" s="127"/>
    </row>
    <row r="31" spans="1:9" s="41" customFormat="1" ht="15" customHeight="1" x14ac:dyDescent="0.25">
      <c r="A31" s="163" t="s">
        <v>130</v>
      </c>
      <c r="B31" s="163"/>
      <c r="C31" s="163"/>
      <c r="D31" s="163"/>
      <c r="E31" s="163"/>
      <c r="F31" s="163"/>
      <c r="G31" s="163"/>
      <c r="H31" s="163"/>
      <c r="I31" s="163"/>
    </row>
    <row r="32" spans="1:9" ht="38.450000000000003" customHeight="1" x14ac:dyDescent="0.25">
      <c r="A32" s="52" t="s">
        <v>131</v>
      </c>
      <c r="B32" s="54">
        <v>7000</v>
      </c>
      <c r="C32" s="57"/>
      <c r="D32" s="57"/>
      <c r="E32" s="57"/>
      <c r="F32" s="30"/>
      <c r="G32" s="58"/>
      <c r="H32" s="58"/>
      <c r="I32" s="30"/>
    </row>
    <row r="33" spans="1:9" ht="32.450000000000003" customHeight="1" x14ac:dyDescent="0.25">
      <c r="A33" s="55" t="s">
        <v>132</v>
      </c>
      <c r="B33" s="54">
        <v>7001</v>
      </c>
      <c r="C33" s="57"/>
      <c r="D33" s="57"/>
      <c r="E33" s="57"/>
      <c r="F33" s="30"/>
      <c r="G33" s="58"/>
      <c r="H33" s="58"/>
      <c r="I33" s="30"/>
    </row>
    <row r="34" spans="1:9" ht="25.9" customHeight="1" x14ac:dyDescent="0.25">
      <c r="A34" s="55" t="s">
        <v>120</v>
      </c>
      <c r="B34" s="54">
        <v>7002</v>
      </c>
      <c r="C34" s="57"/>
      <c r="D34" s="57"/>
      <c r="E34" s="57"/>
      <c r="F34" s="30"/>
      <c r="G34" s="58"/>
      <c r="H34" s="58"/>
      <c r="I34" s="30"/>
    </row>
    <row r="35" spans="1:9" ht="39" customHeight="1" x14ac:dyDescent="0.25">
      <c r="A35" s="55" t="s">
        <v>133</v>
      </c>
      <c r="B35" s="54">
        <v>8000</v>
      </c>
      <c r="C35" s="57"/>
      <c r="D35" s="57"/>
      <c r="E35" s="57"/>
      <c r="F35" s="30"/>
      <c r="G35" s="58"/>
      <c r="H35" s="58"/>
      <c r="I35" s="30"/>
    </row>
    <row r="36" spans="1:9" ht="40.9" customHeight="1" x14ac:dyDescent="0.25">
      <c r="A36" s="55" t="s">
        <v>134</v>
      </c>
      <c r="B36" s="54">
        <v>8001</v>
      </c>
      <c r="C36" s="57"/>
      <c r="D36" s="57"/>
      <c r="E36" s="57"/>
      <c r="F36" s="30"/>
      <c r="G36" s="58"/>
      <c r="H36" s="58"/>
      <c r="I36" s="30"/>
    </row>
    <row r="37" spans="1:9" ht="36.6" customHeight="1" x14ac:dyDescent="0.25">
      <c r="A37" s="55" t="s">
        <v>135</v>
      </c>
      <c r="B37" s="54">
        <v>8002</v>
      </c>
      <c r="C37" s="57"/>
      <c r="D37" s="57"/>
      <c r="E37" s="57"/>
      <c r="F37" s="30"/>
      <c r="G37" s="58"/>
      <c r="H37" s="58"/>
      <c r="I37" s="30"/>
    </row>
    <row r="38" spans="1:9" ht="27" customHeight="1" x14ac:dyDescent="0.25">
      <c r="A38" s="55" t="s">
        <v>29</v>
      </c>
      <c r="B38" s="54">
        <v>8003</v>
      </c>
      <c r="C38" s="57"/>
      <c r="D38" s="57"/>
      <c r="E38" s="57"/>
      <c r="F38" s="30"/>
      <c r="G38" s="58"/>
      <c r="H38" s="58"/>
      <c r="I38" s="30"/>
    </row>
    <row r="39" spans="1:9" ht="51" customHeight="1" x14ac:dyDescent="0.25">
      <c r="A39" s="55" t="s">
        <v>136</v>
      </c>
      <c r="B39" s="54">
        <v>9000</v>
      </c>
      <c r="C39" s="57"/>
      <c r="D39" s="57"/>
      <c r="E39" s="57"/>
      <c r="F39" s="30"/>
      <c r="G39" s="58"/>
      <c r="H39" s="58"/>
      <c r="I39" s="30"/>
    </row>
    <row r="40" spans="1:9" x14ac:dyDescent="0.25">
      <c r="A40" s="55" t="s">
        <v>137</v>
      </c>
      <c r="B40" s="54">
        <v>9001</v>
      </c>
      <c r="C40" s="57"/>
      <c r="D40" s="57"/>
      <c r="E40" s="57"/>
      <c r="F40" s="30"/>
      <c r="G40" s="58"/>
      <c r="H40" s="58"/>
      <c r="I40" s="30"/>
    </row>
    <row r="41" spans="1:9" ht="33" customHeight="1" x14ac:dyDescent="0.25">
      <c r="A41" s="52" t="s">
        <v>138</v>
      </c>
      <c r="B41" s="54">
        <v>10000</v>
      </c>
      <c r="C41" s="57"/>
      <c r="D41" s="57"/>
      <c r="E41" s="57"/>
      <c r="F41" s="30"/>
      <c r="G41" s="58"/>
      <c r="H41" s="58"/>
      <c r="I41" s="30"/>
    </row>
    <row r="42" spans="1:9" ht="32.450000000000003" customHeight="1" x14ac:dyDescent="0.25">
      <c r="A42" s="52" t="s">
        <v>139</v>
      </c>
      <c r="B42" s="54">
        <v>10100</v>
      </c>
      <c r="C42" s="130">
        <f>C8</f>
        <v>71307.099999999991</v>
      </c>
      <c r="D42" s="130">
        <f>D8</f>
        <v>85112.400000000009</v>
      </c>
      <c r="E42" s="131">
        <f>SUM(F42:I42)</f>
        <v>113027.6</v>
      </c>
      <c r="F42" s="131">
        <f>F8</f>
        <v>24472.000000000004</v>
      </c>
      <c r="G42" s="131">
        <f>G8</f>
        <v>27105.800000000003</v>
      </c>
      <c r="H42" s="131">
        <f>H8</f>
        <v>26874.7</v>
      </c>
      <c r="I42" s="131">
        <f>I8</f>
        <v>34575.1</v>
      </c>
    </row>
    <row r="43" spans="1:9" ht="30" customHeight="1" x14ac:dyDescent="0.25">
      <c r="A43" s="55" t="s">
        <v>140</v>
      </c>
      <c r="B43" s="54">
        <v>10200</v>
      </c>
      <c r="C43" s="132">
        <v>418.6</v>
      </c>
      <c r="D43" s="130">
        <f>'Таблиця 2'!D8</f>
        <v>2212.1999999999998</v>
      </c>
      <c r="E43" s="131">
        <f>F43</f>
        <v>51.6</v>
      </c>
      <c r="F43" s="131">
        <f>'Таблиця 2'!F8</f>
        <v>51.6</v>
      </c>
      <c r="G43" s="131">
        <f>'Таблиця 2'!G8</f>
        <v>60.10050000000556</v>
      </c>
      <c r="H43" s="131">
        <f>'Таблиця 2'!H8</f>
        <v>75.379800000011159</v>
      </c>
      <c r="I43" s="131">
        <f>'Таблиця 2'!I8</f>
        <v>97.284300000011712</v>
      </c>
    </row>
    <row r="44" spans="1:9" ht="22.9" customHeight="1" x14ac:dyDescent="0.25">
      <c r="A44" s="55" t="s">
        <v>141</v>
      </c>
      <c r="B44" s="54">
        <v>10300</v>
      </c>
      <c r="C44" s="131">
        <v>2761.3</v>
      </c>
      <c r="D44" s="131">
        <f>'Таблиця 2'!D14</f>
        <v>2344.8000000000002</v>
      </c>
      <c r="E44" s="131">
        <f>I44</f>
        <v>108.83630000000775</v>
      </c>
      <c r="F44" s="131">
        <f>'Таблиця 2'!F14</f>
        <v>60.10050000000556</v>
      </c>
      <c r="G44" s="131">
        <f>'Таблиця 2'!G14</f>
        <v>75.379800000011159</v>
      </c>
      <c r="H44" s="131">
        <f>'Таблиця 2'!H14</f>
        <v>97.284300000011712</v>
      </c>
      <c r="I44" s="131">
        <f>'Таблиця 2'!I14</f>
        <v>108.83630000000775</v>
      </c>
    </row>
    <row r="46" spans="1:9" s="41" customFormat="1" x14ac:dyDescent="0.25"/>
    <row r="47" spans="1:9" s="41" customFormat="1" ht="15" customHeight="1" thickBot="1" x14ac:dyDescent="0.3">
      <c r="A47" s="13" t="s">
        <v>198</v>
      </c>
      <c r="B47" s="59"/>
      <c r="C47" s="59"/>
      <c r="D47" s="59"/>
      <c r="E47" s="162"/>
      <c r="F47" s="162"/>
      <c r="G47" s="146" t="s">
        <v>199</v>
      </c>
      <c r="H47" s="146"/>
      <c r="I47" s="146"/>
    </row>
    <row r="48" spans="1:9" s="41" customFormat="1" ht="24" customHeight="1" x14ac:dyDescent="0.25">
      <c r="A48" s="60" t="s">
        <v>85</v>
      </c>
      <c r="B48" s="161" t="s">
        <v>86</v>
      </c>
      <c r="C48" s="161"/>
      <c r="D48" s="161"/>
      <c r="E48" s="161"/>
      <c r="F48" s="161"/>
      <c r="G48" s="161" t="s">
        <v>87</v>
      </c>
      <c r="H48" s="161"/>
      <c r="I48" s="161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9" sqref="F9"/>
    </sheetView>
  </sheetViews>
  <sheetFormatPr defaultColWidth="8.85546875" defaultRowHeight="15" x14ac:dyDescent="0.25"/>
  <cols>
    <col min="1" max="1" width="39.140625" style="63" customWidth="1"/>
    <col min="2" max="2" width="8.85546875" style="63"/>
    <col min="3" max="3" width="11.85546875" style="63" customWidth="1"/>
    <col min="4" max="4" width="10.85546875" style="63" customWidth="1"/>
    <col min="5" max="5" width="11.7109375" style="63" customWidth="1"/>
    <col min="6" max="6" width="12" style="63" customWidth="1"/>
    <col min="7" max="7" width="10.7109375" style="63" customWidth="1"/>
    <col min="8" max="8" width="10.140625" style="63" customWidth="1"/>
    <col min="9" max="9" width="10.28515625" style="63" customWidth="1"/>
    <col min="10" max="16384" width="8.85546875" style="63"/>
  </cols>
  <sheetData>
    <row r="1" spans="1:9" x14ac:dyDescent="0.25">
      <c r="A1" s="62"/>
      <c r="F1" s="62"/>
      <c r="H1" s="164" t="s">
        <v>142</v>
      </c>
      <c r="I1" s="164"/>
    </row>
    <row r="2" spans="1:9" x14ac:dyDescent="0.25">
      <c r="A2" s="165" t="s">
        <v>143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64"/>
    </row>
    <row r="4" spans="1:9" ht="15" customHeight="1" x14ac:dyDescent="0.25">
      <c r="A4" s="160" t="s">
        <v>14</v>
      </c>
      <c r="B4" s="160" t="s">
        <v>88</v>
      </c>
      <c r="C4" s="144" t="s">
        <v>178</v>
      </c>
      <c r="D4" s="144" t="s">
        <v>177</v>
      </c>
      <c r="E4" s="144" t="s">
        <v>179</v>
      </c>
      <c r="F4" s="144" t="s">
        <v>171</v>
      </c>
      <c r="G4" s="144"/>
      <c r="H4" s="144"/>
      <c r="I4" s="144"/>
    </row>
    <row r="5" spans="1:9" ht="55.9" customHeight="1" x14ac:dyDescent="0.25">
      <c r="A5" s="160"/>
      <c r="B5" s="160"/>
      <c r="C5" s="144"/>
      <c r="D5" s="144"/>
      <c r="E5" s="144"/>
      <c r="F5" s="54" t="s">
        <v>172</v>
      </c>
      <c r="G5" s="54" t="s">
        <v>173</v>
      </c>
      <c r="H5" s="54" t="s">
        <v>174</v>
      </c>
      <c r="I5" s="54" t="s">
        <v>175</v>
      </c>
    </row>
    <row r="6" spans="1:9" ht="15.75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</row>
    <row r="7" spans="1:9" x14ac:dyDescent="0.25">
      <c r="A7" s="65" t="s">
        <v>144</v>
      </c>
      <c r="B7" s="66">
        <v>11000</v>
      </c>
      <c r="C7" s="94">
        <f t="shared" ref="C7:I7" si="0">SUM(C8:C13)</f>
        <v>45.3</v>
      </c>
      <c r="D7" s="94">
        <f t="shared" si="0"/>
        <v>5500</v>
      </c>
      <c r="E7" s="94">
        <f t="shared" si="0"/>
        <v>6635.5</v>
      </c>
      <c r="F7" s="94">
        <f t="shared" si="0"/>
        <v>1000</v>
      </c>
      <c r="G7" s="94">
        <f t="shared" si="0"/>
        <v>735.5</v>
      </c>
      <c r="H7" s="94">
        <f t="shared" si="0"/>
        <v>400</v>
      </c>
      <c r="I7" s="94">
        <f t="shared" si="0"/>
        <v>4500</v>
      </c>
    </row>
    <row r="8" spans="1:9" x14ac:dyDescent="0.25">
      <c r="A8" s="67" t="s">
        <v>145</v>
      </c>
      <c r="B8" s="33">
        <v>11001</v>
      </c>
      <c r="C8" s="95"/>
      <c r="D8" s="95"/>
      <c r="E8" s="95"/>
      <c r="F8" s="95"/>
      <c r="G8" s="95"/>
      <c r="H8" s="95"/>
      <c r="I8" s="95"/>
    </row>
    <row r="9" spans="1:9" x14ac:dyDescent="0.25">
      <c r="A9" s="67" t="s">
        <v>146</v>
      </c>
      <c r="B9" s="33">
        <v>11002</v>
      </c>
      <c r="C9" s="95">
        <v>45.3</v>
      </c>
      <c r="D9" s="95">
        <f>'Таблиця 1'!D89</f>
        <v>5500</v>
      </c>
      <c r="E9" s="95">
        <f>SUM(F9:I9)</f>
        <v>6635.5</v>
      </c>
      <c r="F9" s="95">
        <v>1000</v>
      </c>
      <c r="G9" s="95">
        <v>735.5</v>
      </c>
      <c r="H9" s="95">
        <v>400</v>
      </c>
      <c r="I9" s="95">
        <v>4500</v>
      </c>
    </row>
    <row r="10" spans="1:9" ht="28.9" customHeight="1" x14ac:dyDescent="0.25">
      <c r="A10" s="67" t="s">
        <v>147</v>
      </c>
      <c r="B10" s="33">
        <v>11003</v>
      </c>
      <c r="C10" s="95"/>
      <c r="D10" s="95"/>
      <c r="E10" s="95"/>
      <c r="F10" s="95"/>
      <c r="G10" s="95"/>
      <c r="H10" s="95"/>
      <c r="I10" s="95"/>
    </row>
    <row r="11" spans="1:9" x14ac:dyDescent="0.25">
      <c r="A11" s="67" t="s">
        <v>148</v>
      </c>
      <c r="B11" s="33">
        <v>11004</v>
      </c>
      <c r="C11" s="95"/>
      <c r="D11" s="95"/>
      <c r="E11" s="95"/>
      <c r="F11" s="95"/>
      <c r="G11" s="95"/>
      <c r="H11" s="95"/>
      <c r="I11" s="95"/>
    </row>
    <row r="12" spans="1:9" ht="38.25" x14ac:dyDescent="0.25">
      <c r="A12" s="67" t="s">
        <v>136</v>
      </c>
      <c r="B12" s="33">
        <v>11005</v>
      </c>
      <c r="C12" s="95"/>
      <c r="D12" s="95"/>
      <c r="E12" s="95"/>
      <c r="F12" s="95"/>
      <c r="G12" s="95"/>
      <c r="H12" s="95"/>
      <c r="I12" s="95"/>
    </row>
    <row r="13" spans="1:9" x14ac:dyDescent="0.25">
      <c r="A13" s="67" t="s">
        <v>137</v>
      </c>
      <c r="B13" s="33">
        <v>11006</v>
      </c>
      <c r="C13" s="95"/>
      <c r="D13" s="95"/>
      <c r="E13" s="110"/>
      <c r="F13" s="95"/>
      <c r="G13" s="95"/>
      <c r="H13" s="95"/>
      <c r="I13" s="95"/>
    </row>
    <row r="14" spans="1:9" x14ac:dyDescent="0.25">
      <c r="A14" s="68"/>
    </row>
    <row r="15" spans="1:9" ht="19.149999999999999" customHeight="1" thickBot="1" x14ac:dyDescent="0.3">
      <c r="A15" s="13" t="s">
        <v>198</v>
      </c>
      <c r="B15" s="49"/>
      <c r="C15" s="49"/>
      <c r="D15" s="49"/>
      <c r="E15" s="146"/>
      <c r="F15" s="146"/>
      <c r="G15" s="146" t="s">
        <v>199</v>
      </c>
      <c r="H15" s="146"/>
      <c r="I15" s="146"/>
    </row>
    <row r="16" spans="1:9" ht="24" customHeight="1" x14ac:dyDescent="0.25">
      <c r="A16" s="50" t="s">
        <v>85</v>
      </c>
      <c r="B16" s="121" t="s">
        <v>86</v>
      </c>
      <c r="C16" s="121"/>
      <c r="D16" s="121"/>
      <c r="E16" s="166"/>
      <c r="F16" s="166"/>
      <c r="G16" s="166" t="s">
        <v>87</v>
      </c>
      <c r="H16" s="166"/>
      <c r="I16" s="166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tabSelected="1" topLeftCell="A4" zoomScaleNormal="100" workbookViewId="0">
      <selection activeCell="D13" sqref="D13"/>
    </sheetView>
  </sheetViews>
  <sheetFormatPr defaultColWidth="8.85546875" defaultRowHeight="15.75" x14ac:dyDescent="0.25"/>
  <cols>
    <col min="1" max="1" width="80.5703125" style="73" customWidth="1"/>
    <col min="2" max="2" width="16.7109375" style="73" customWidth="1"/>
    <col min="3" max="3" width="20" style="73" customWidth="1"/>
    <col min="4" max="4" width="18.28515625" style="73" customWidth="1"/>
    <col min="5" max="16384" width="8.85546875" style="73"/>
  </cols>
  <sheetData>
    <row r="1" spans="1:4" x14ac:dyDescent="0.25">
      <c r="A1" s="69"/>
      <c r="D1" s="69" t="s">
        <v>149</v>
      </c>
    </row>
    <row r="2" spans="1:4" x14ac:dyDescent="0.25">
      <c r="A2" s="158" t="s">
        <v>150</v>
      </c>
      <c r="B2" s="158"/>
      <c r="C2" s="158"/>
      <c r="D2" s="158"/>
    </row>
    <row r="3" spans="1:4" x14ac:dyDescent="0.25">
      <c r="A3" s="70"/>
    </row>
    <row r="4" spans="1:4" ht="50.45" customHeight="1" x14ac:dyDescent="0.25">
      <c r="A4" s="54" t="s">
        <v>14</v>
      </c>
      <c r="B4" s="54" t="s">
        <v>178</v>
      </c>
      <c r="C4" s="54" t="s">
        <v>177</v>
      </c>
      <c r="D4" s="54" t="s">
        <v>181</v>
      </c>
    </row>
    <row r="5" spans="1:4" x14ac:dyDescent="0.25">
      <c r="A5" s="85">
        <v>1</v>
      </c>
      <c r="B5" s="85">
        <v>2</v>
      </c>
      <c r="C5" s="85">
        <v>3</v>
      </c>
      <c r="D5" s="85">
        <v>4</v>
      </c>
    </row>
    <row r="6" spans="1:4" ht="31.9" customHeight="1" x14ac:dyDescent="0.25">
      <c r="A6" s="108" t="s">
        <v>186</v>
      </c>
      <c r="B6" s="93">
        <f>SUM(B7:B9)</f>
        <v>252</v>
      </c>
      <c r="C6" s="107">
        <f>SUM(C7:C9)</f>
        <v>253</v>
      </c>
      <c r="D6" s="101">
        <f>SUM(D7:D9)</f>
        <v>273</v>
      </c>
    </row>
    <row r="7" spans="1:4" x14ac:dyDescent="0.25">
      <c r="A7" s="55" t="s">
        <v>151</v>
      </c>
      <c r="B7" s="54">
        <v>1</v>
      </c>
      <c r="C7" s="106">
        <v>1</v>
      </c>
      <c r="D7" s="106">
        <v>1</v>
      </c>
    </row>
    <row r="8" spans="1:4" x14ac:dyDescent="0.25">
      <c r="A8" s="55" t="s">
        <v>152</v>
      </c>
      <c r="B8" s="54">
        <v>45</v>
      </c>
      <c r="C8" s="106">
        <v>46</v>
      </c>
      <c r="D8" s="106">
        <v>46</v>
      </c>
    </row>
    <row r="9" spans="1:4" x14ac:dyDescent="0.25">
      <c r="A9" s="55" t="s">
        <v>153</v>
      </c>
      <c r="B9" s="54">
        <v>206</v>
      </c>
      <c r="C9" s="106">
        <v>206</v>
      </c>
      <c r="D9" s="106">
        <v>226</v>
      </c>
    </row>
    <row r="10" spans="1:4" x14ac:dyDescent="0.25">
      <c r="A10" s="52" t="s">
        <v>154</v>
      </c>
      <c r="B10" s="92">
        <f>SUM(B11:B13)</f>
        <v>43527.100000000006</v>
      </c>
      <c r="C10" s="92">
        <f>SUM(C11:C13)</f>
        <v>45961.599999999999</v>
      </c>
      <c r="D10" s="92">
        <f>SUM(D11:D13)</f>
        <v>62042.3</v>
      </c>
    </row>
    <row r="11" spans="1:4" x14ac:dyDescent="0.25">
      <c r="A11" s="55" t="s">
        <v>151</v>
      </c>
      <c r="B11" s="57">
        <f>195.4+274.4+50+239</f>
        <v>758.8</v>
      </c>
      <c r="C11" s="103">
        <v>697.8</v>
      </c>
      <c r="D11" s="103">
        <f>692.2+5.6</f>
        <v>697.80000000000007</v>
      </c>
    </row>
    <row r="12" spans="1:4" x14ac:dyDescent="0.25">
      <c r="A12" s="55" t="s">
        <v>152</v>
      </c>
      <c r="B12" s="57">
        <f>928.8+1401+2072.6+1396.1</f>
        <v>5798.5</v>
      </c>
      <c r="C12" s="103">
        <v>6050.7</v>
      </c>
      <c r="D12" s="103">
        <f>8620.8</f>
        <v>8620.7999999999993</v>
      </c>
    </row>
    <row r="13" spans="1:4" x14ac:dyDescent="0.25">
      <c r="A13" s="55" t="s">
        <v>153</v>
      </c>
      <c r="B13" s="57">
        <f>9304.6+12076.1+9559.8+6029.3</f>
        <v>36969.800000000003</v>
      </c>
      <c r="C13" s="103">
        <v>39213.1</v>
      </c>
      <c r="D13" s="103">
        <f>'Таблиця 1'!E34</f>
        <v>52723.700000000004</v>
      </c>
    </row>
    <row r="14" spans="1:4" ht="31.5" x14ac:dyDescent="0.25">
      <c r="A14" s="52" t="s">
        <v>155</v>
      </c>
      <c r="B14" s="31"/>
      <c r="C14" s="104"/>
      <c r="D14" s="104"/>
    </row>
    <row r="15" spans="1:4" x14ac:dyDescent="0.25">
      <c r="A15" s="55" t="s">
        <v>151</v>
      </c>
      <c r="B15" s="57">
        <f>B11/12/B7</f>
        <v>63.233333333333327</v>
      </c>
      <c r="C15" s="57">
        <f t="shared" ref="C15:D17" si="0">C11/C7/12</f>
        <v>58.15</v>
      </c>
      <c r="D15" s="57">
        <f>D11/D7/12</f>
        <v>58.150000000000006</v>
      </c>
    </row>
    <row r="16" spans="1:4" x14ac:dyDescent="0.25">
      <c r="A16" s="55" t="s">
        <v>152</v>
      </c>
      <c r="B16" s="57">
        <f>B12/12/B8</f>
        <v>10.737962962962962</v>
      </c>
      <c r="C16" s="57">
        <f t="shared" si="0"/>
        <v>10.96141304347826</v>
      </c>
      <c r="D16" s="57">
        <f>D12/D8/12</f>
        <v>15.617391304347825</v>
      </c>
    </row>
    <row r="17" spans="1:5" x14ac:dyDescent="0.25">
      <c r="A17" s="111" t="s">
        <v>153</v>
      </c>
      <c r="B17" s="109">
        <f>B13/12/B9</f>
        <v>14.955420711974112</v>
      </c>
      <c r="C17" s="109">
        <f t="shared" si="0"/>
        <v>15.862904530744336</v>
      </c>
      <c r="D17" s="109">
        <f t="shared" si="0"/>
        <v>19.44089233038348</v>
      </c>
    </row>
    <row r="18" spans="1:5" x14ac:dyDescent="0.25">
      <c r="A18" s="52" t="s">
        <v>156</v>
      </c>
      <c r="B18" s="92">
        <f>SUM(B19:B21)</f>
        <v>47636.4</v>
      </c>
      <c r="C18" s="92">
        <f>SUM(C19:C21)</f>
        <v>47284.1</v>
      </c>
      <c r="D18" s="92">
        <f>SUM(D19:D21)</f>
        <v>75629.563700000013</v>
      </c>
    </row>
    <row r="19" spans="1:5" x14ac:dyDescent="0.25">
      <c r="A19" s="55" t="s">
        <v>151</v>
      </c>
      <c r="B19" s="57">
        <f>195.4+274.4+61+238</f>
        <v>768.8</v>
      </c>
      <c r="C19" s="103">
        <v>697.8</v>
      </c>
      <c r="D19" s="103">
        <f>D11*1.219</f>
        <v>850.61820000000012</v>
      </c>
    </row>
    <row r="20" spans="1:5" x14ac:dyDescent="0.25">
      <c r="A20" s="55" t="s">
        <v>152</v>
      </c>
      <c r="B20" s="57">
        <f>1462.4+2488.8+1431.5+994.5</f>
        <v>6377.2000000000007</v>
      </c>
      <c r="C20" s="103">
        <v>6231.9</v>
      </c>
      <c r="D20" s="103">
        <f>D12*1.219</f>
        <v>10508.7552</v>
      </c>
    </row>
    <row r="21" spans="1:5" x14ac:dyDescent="0.25">
      <c r="A21" s="55" t="s">
        <v>153</v>
      </c>
      <c r="B21" s="57">
        <f>6437.6+9864+14500.1+9688.7</f>
        <v>40490.400000000001</v>
      </c>
      <c r="C21" s="103">
        <v>40354.400000000001</v>
      </c>
      <c r="D21" s="103">
        <f>D13*1.219</f>
        <v>64270.190300000009</v>
      </c>
    </row>
    <row r="22" spans="1:5" ht="31.5" x14ac:dyDescent="0.25">
      <c r="A22" s="52" t="s">
        <v>157</v>
      </c>
      <c r="B22" s="31"/>
      <c r="C22" s="104"/>
      <c r="D22" s="104"/>
    </row>
    <row r="23" spans="1:5" x14ac:dyDescent="0.25">
      <c r="A23" s="55" t="s">
        <v>151</v>
      </c>
      <c r="B23" s="57">
        <f t="shared" ref="B23:D25" si="1">B19/12/B7</f>
        <v>64.066666666666663</v>
      </c>
      <c r="C23" s="57">
        <f>C19/12/C7</f>
        <v>58.15</v>
      </c>
      <c r="D23" s="57">
        <f>D19/12/D7</f>
        <v>70.884850000000014</v>
      </c>
    </row>
    <row r="24" spans="1:5" x14ac:dyDescent="0.25">
      <c r="A24" s="112" t="s">
        <v>152</v>
      </c>
      <c r="B24" s="113">
        <f t="shared" si="1"/>
        <v>11.809629629629631</v>
      </c>
      <c r="C24" s="113">
        <f>C20/12/C8</f>
        <v>11.289673913043476</v>
      </c>
      <c r="D24" s="113">
        <f t="shared" si="1"/>
        <v>19.037600000000001</v>
      </c>
    </row>
    <row r="25" spans="1:5" ht="15" customHeight="1" x14ac:dyDescent="0.25">
      <c r="A25" s="120" t="s">
        <v>153</v>
      </c>
      <c r="B25" s="122">
        <f t="shared" si="1"/>
        <v>16.379611650485437</v>
      </c>
      <c r="C25" s="122">
        <f>C21/12/C9</f>
        <v>16.324595469255662</v>
      </c>
      <c r="D25" s="123">
        <f>D21/12/D9</f>
        <v>23.698447750737465</v>
      </c>
    </row>
    <row r="26" spans="1:5" hidden="1" x14ac:dyDescent="0.25">
      <c r="A26" s="114"/>
      <c r="B26" s="115"/>
      <c r="C26" s="115"/>
      <c r="D26" s="118"/>
    </row>
    <row r="27" spans="1:5" hidden="1" x14ac:dyDescent="0.25">
      <c r="A27" s="114"/>
      <c r="B27" s="115"/>
      <c r="C27" s="115"/>
      <c r="D27" s="118"/>
    </row>
    <row r="28" spans="1:5" hidden="1" x14ac:dyDescent="0.25">
      <c r="A28" s="116"/>
      <c r="B28" s="117"/>
      <c r="C28" s="117"/>
      <c r="D28" s="119"/>
    </row>
    <row r="29" spans="1:5" x14ac:dyDescent="0.25">
      <c r="A29" s="71"/>
      <c r="B29" s="74"/>
      <c r="C29" s="74"/>
      <c r="D29" s="74"/>
    </row>
    <row r="30" spans="1:5" x14ac:dyDescent="0.25">
      <c r="A30" s="72"/>
    </row>
    <row r="31" spans="1:5" ht="23.45" customHeight="1" thickBot="1" x14ac:dyDescent="0.3">
      <c r="A31" s="13" t="s">
        <v>198</v>
      </c>
      <c r="B31" s="146" t="s">
        <v>199</v>
      </c>
      <c r="C31" s="146"/>
      <c r="D31" s="146"/>
      <c r="E31" s="75"/>
    </row>
    <row r="32" spans="1:5" x14ac:dyDescent="0.25">
      <c r="A32" s="60" t="s">
        <v>161</v>
      </c>
      <c r="B32" s="76"/>
      <c r="C32" s="167" t="s">
        <v>160</v>
      </c>
      <c r="D32" s="167"/>
      <c r="E32" s="84"/>
    </row>
    <row r="33" spans="1:1" x14ac:dyDescent="0.25">
      <c r="A33" s="72"/>
    </row>
  </sheetData>
  <mergeCells count="3">
    <mergeCell ref="C32:D32"/>
    <mergeCell ref="B31:D31"/>
    <mergeCell ref="A2:D2"/>
  </mergeCells>
  <pageMargins left="0.31496062992125984" right="0.31496062992125984" top="0.35433070866141736" bottom="0.35433070866141736" header="0.31496062992125984" footer="0.31496062992125984"/>
  <pageSetup paperSize="9" scale="9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2025-12-24T15:34:16Z</dcterms:modified>
</cp:coreProperties>
</file>